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ZRaLWuxfDJ6hhuERWZOuky/xixBIilV29Q82NvpudZpkB0x9jVyIunvQ78FvXcpn6eyc3lsj78P/uH5VpoBew==" workbookSaltValue="sOytttlaC59i9UONNmKka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B9" i="6" s="1"/>
  <c r="G10" i="2"/>
  <c r="G11" i="2"/>
  <c r="C11" i="6" s="1"/>
  <c r="G12" i="2"/>
  <c r="L12" i="14" s="1"/>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BF15" i="8" s="1"/>
  <c r="AZ15" i="8"/>
  <c r="AY15" i="8"/>
  <c r="BG15" i="8" s="1"/>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B16" i="6"/>
  <c r="AL10" i="11"/>
  <c r="N10" i="11"/>
  <c r="N9" i="11"/>
  <c r="T10" i="2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M13" i="2"/>
  <c r="N13" i="2"/>
  <c r="AO9" i="11"/>
  <c r="AO12" i="11"/>
  <c r="B12" i="6"/>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AZ18" i="13"/>
  <c r="BD12" i="8"/>
  <c r="H12" i="7" s="1"/>
  <c r="BD9" i="8"/>
  <c r="BE9" i="8"/>
  <c r="X12" i="17"/>
  <c r="L10" i="2"/>
  <c r="AV18" i="17"/>
  <c r="J18" i="17"/>
  <c r="L15" i="2"/>
  <c r="L12" i="2"/>
  <c r="L16" i="2"/>
  <c r="U9" i="17"/>
  <c r="U19" i="17" s="1"/>
  <c r="T13" i="16"/>
  <c r="AP13" i="16"/>
  <c r="V9" i="16"/>
  <c r="F11" i="11"/>
  <c r="AQ11" i="11" s="1"/>
  <c r="T18" i="17"/>
  <c r="BF15" i="13"/>
  <c r="BA18"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E18" i="12"/>
  <c r="T19" i="8"/>
  <c r="C18" i="7"/>
  <c r="AO16" i="11"/>
  <c r="AW18" i="21"/>
  <c r="AO12" i="17"/>
  <c r="Z13" i="17"/>
  <c r="H13" i="12"/>
  <c r="AB19" i="8"/>
  <c r="Z19" i="8"/>
  <c r="BG10" i="8"/>
  <c r="C19" i="3"/>
  <c r="E11" i="6"/>
  <c r="AO17" i="11"/>
  <c r="AL11" i="11"/>
  <c r="H12" i="2"/>
  <c r="M18" i="2"/>
  <c r="N18" i="2"/>
  <c r="S12" i="14"/>
  <c r="V12" i="14" s="1"/>
  <c r="S16" i="14"/>
  <c r="V16" i="14" s="1"/>
  <c r="R16" i="14"/>
  <c r="V10" i="21"/>
  <c r="V13" i="21" s="1"/>
  <c r="V19" i="21" s="1"/>
  <c r="BF11" i="8"/>
  <c r="BF9" i="8"/>
  <c r="C10" i="6"/>
  <c r="BF16" i="13"/>
  <c r="BE16" i="13"/>
  <c r="AO16" i="17"/>
  <c r="BD15" i="8"/>
  <c r="H15" i="7" s="1"/>
  <c r="BE15" i="8"/>
  <c r="BG16" i="8"/>
  <c r="K16" i="7" s="1"/>
  <c r="E18" i="2"/>
  <c r="AL15" i="11"/>
  <c r="L16" i="14"/>
  <c r="F15" i="11"/>
  <c r="F16" i="17"/>
  <c r="F18" i="17" s="1"/>
  <c r="D11" i="12"/>
  <c r="D12" i="12"/>
  <c r="BG9" i="8"/>
  <c r="K9" i="7" s="1"/>
  <c r="BD11" i="8"/>
  <c r="BE11" i="8"/>
  <c r="I11" i="7" s="1"/>
  <c r="BG12" i="8"/>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D19" i="12" l="1"/>
  <c r="AL18" i="11"/>
  <c r="K16" i="12"/>
  <c r="F19" i="7"/>
  <c r="G19" i="7"/>
  <c r="I10" i="12"/>
  <c r="B19" i="7"/>
  <c r="H13" i="2"/>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<sst xmlns="http://schemas.openxmlformats.org/spreadsheetml/2006/main" count="2102" uniqueCount="917">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</sst>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GbMSv6jEpfTaKU+XRENu09w6HtMcTnf+D9oyfRVG19J0eBBV9CW5SwRPi8s/m61Hxh+Q+ByTN+jsYhUYkUMLQ==" saltValue="rzSTecAzlioJH+d7cCDo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55</v>
      </c>
      <c r="D10" s="224">
        <f>IF(ISNUMBER(Datos!I10),Datos!I10," - ")</f>
        <v>55</v>
      </c>
      <c r="E10" s="225">
        <f>IF(ISNUMBER(Datos!J10),Datos!J10," - ")</f>
        <v>11</v>
      </c>
      <c r="F10" s="225">
        <f>IF(ISNUMBER(Datos!K10),Datos!K10," - ")</f>
        <v>8</v>
      </c>
      <c r="G10" s="1033" t="str">
        <f>IF(Datos!E10&lt;&gt;"",Datos!E10,Datos!D10)</f>
        <v>37</v>
      </c>
      <c r="H10" s="226">
        <f>IF(ISNUMBER(Datos!L10),Datos!L10," - ")</f>
        <v>58</v>
      </c>
      <c r="I10" s="1043" t="str">
        <f>IF(ISNUMBER(Datos!AS10/Datos!BM10),Datos!AS10/Datos!BM10," - ")</f>
        <v xml:space="preserve"> - </v>
      </c>
      <c r="J10" s="1044">
        <f>IF(ISNUMBER(Datos!BY10/Datos!CN10),Datos!BY10/Datos!CN10," - ")</f>
        <v>0</v>
      </c>
      <c r="K10" s="229">
        <f t="shared" ref="K10:K12" si="1">IF(ISNUMBER((E10-F10)/C10),(E10-F10)/C10," - ")</f>
        <v>5.4545454545454543E-2</v>
      </c>
      <c r="L10" s="1024">
        <f>IF(ISNUMBER(NºAsuntos!I10/NºAsuntos!G10),(NºAsuntos!I10/NºAsuntos!G10)*11," - ")</f>
        <v>79.75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50.709131905298754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55</v>
      </c>
      <c r="D13" s="1048">
        <f>SUBTOTAL(9,D9:D12)</f>
        <v>55</v>
      </c>
      <c r="E13" s="1049">
        <f>SUBTOTAL(9,E9:E12)</f>
        <v>11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1683</v>
      </c>
      <c r="D16" s="224">
        <f>IF(ISNUMBER(IF(D_I="SI",Datos!I16,Datos!I16+Datos!AC16)),IF(D_I="SI",Datos!I16,Datos!I16+Datos!AC16)," - ")</f>
        <v>1671</v>
      </c>
      <c r="E16" s="225">
        <f>IF(ISNUMBER(IF(D_I="SI",Datos!J16,Datos!J16+Datos!AD16)),IF(D_I="SI",Datos!J16,Datos!J16+Datos!AD16)," - ")</f>
        <v>1375</v>
      </c>
      <c r="F16" s="225">
        <f>IF(ISNUMBER(IF(D_I="SI",Datos!K16,Datos!K16+Datos!AE16)),IF(D_I="SI",Datos!K16,Datos!K16+Datos!AE16)," - ")</f>
        <v>1311</v>
      </c>
      <c r="G16" s="1033" t="str">
        <f>IF(Datos!E16&lt;&gt;"",Datos!E16,Datos!D16)</f>
        <v>04</v>
      </c>
      <c r="H16" s="226">
        <f>IF(ISNUMBER(IF(D_I="SI",Datos!L16,Datos!L16+Datos!AF16)),IF(D_I="SI",Datos!L16,Datos!L16+Datos!AF16)," - ")</f>
        <v>1747</v>
      </c>
      <c r="I16" s="1043" t="str">
        <f>IF(ISNUMBER(Datos!AS16/Datos!BM16),Datos!AS16/Datos!BM16," - ")</f>
        <v xml:space="preserve"> - </v>
      </c>
      <c r="J16" s="1044">
        <f>IF(ISNUMBER(Datos!BY16/Datos!CN16),Datos!BY16/Datos!CN16," - ")</f>
        <v>0</v>
      </c>
      <c r="K16" s="229">
        <f t="shared" si="3"/>
        <v>3.8027332144979206E-2</v>
      </c>
      <c r="L16" s="1024">
        <f>IF(ISNUMBER(NºAsuntos!I16/NºAsuntos!G16),(NºAsuntos!I16/NºAsuntos!G16)*11," - ")</f>
        <v>14.658276125095348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285</v>
      </c>
      <c r="D17" s="224">
        <f>IF(ISNUMBER(IF(D_I="SI",Datos!I17,Datos!I17+Datos!AC17)),IF(D_I="SI",Datos!I17,Datos!I17+Datos!AC17)," - ")</f>
        <v>285</v>
      </c>
      <c r="E17" s="225">
        <f>IF(ISNUMBER(IF(D_I="SI",Datos!J17,Datos!J17+Datos!AD17)),IF(D_I="SI",Datos!J17,Datos!J17+Datos!AD17)," - ")</f>
        <v>206</v>
      </c>
      <c r="F17" s="225">
        <f>IF(ISNUMBER(IF(D_I="SI",Datos!K17,Datos!K17+Datos!AE17)),IF(D_I="SI",Datos!K17,Datos!K17+Datos!AE17)," - ")</f>
        <v>209</v>
      </c>
      <c r="G17" s="1033" t="str">
        <f>IF(Datos!E17&lt;&gt;"",Datos!E17,Datos!D17)</f>
        <v>37</v>
      </c>
      <c r="H17" s="226">
        <f>IF(ISNUMBER(IF(D_I="SI",Datos!L17,Datos!L17+Datos!AF17)),IF(D_I="SI",Datos!L17,Datos!L17+Datos!AF17)," - ")</f>
        <v>282</v>
      </c>
      <c r="I17" s="1043" t="str">
        <f>IF(ISNUMBER(Datos!AS17/Datos!BM17),Datos!AS17/Datos!BM17," - ")</f>
        <v xml:space="preserve"> - </v>
      </c>
      <c r="J17" s="1044" t="str">
        <f>IF(ISNUMBER((Datos!BY17+Datos!BZ17)/Datos!CN17),(Datos!BY17+Datos!BZ17)/Datos!CN17," - ")</f>
        <v xml:space="preserve"> - </v>
      </c>
      <c r="K17" s="229">
        <f t="shared" si="3"/>
        <v>-1.0526315789473684E-2</v>
      </c>
      <c r="L17" s="1024">
        <f>IF(ISNUMBER(NºAsuntos!I17/NºAsuntos!G17),(NºAsuntos!I17/NºAsuntos!G17)*11," - ")</f>
        <v>14.842105263157894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1968</v>
      </c>
      <c r="D18" s="1048">
        <f>SUBTOTAL(9,D15:D17)</f>
        <v>1956</v>
      </c>
      <c r="E18" s="1049">
        <f>SUBTOTAL(9,E15:E17)</f>
        <v>1581</v>
      </c>
      <c r="F18" s="1049">
        <f>SUBTOTAL(9,F15:F17)</f>
        <v>1520</v>
      </c>
      <c r="G18" s="1051" t="str">
        <f ca="1">INDIRECT(CONCATENATE("G",ROW()-1))</f>
        <v>37</v>
      </c>
      <c r="H18" s="1052">
        <f ca="1">SUMIF(G$14:G17,G18,H$14:H17)</f>
        <v>282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2023</v>
      </c>
      <c r="D19" s="1070">
        <f>SUBTOTAL(9,D9:D18)</f>
        <v>2011</v>
      </c>
      <c r="E19" s="1071">
        <f>SUBTOTAL(9,E9:E18)</f>
        <v>1592</v>
      </c>
      <c r="F19" s="1071">
        <f>SUBTOTAL(9,F9:F18)</f>
        <v>1528</v>
      </c>
      <c r="G19" s="1072"/>
      <c r="H19" s="1073">
        <f ca="1">SUMIF(B9:B18,"TOTAL",H9:H18)</f>
        <v>282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YX08rYLM74utcuk2h6C2TGCJ0nhzxTrvczS4MMA1mMFTTsOhlDkU+u3qeEZAyI0qHaQahFF9eW+jjlkVpJGAg==" saltValue="AlUuyMSiLrVSSVRZCwOXI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6eEcDJfhMEI++imuXS89sSkpFjewoKImq3w9D8iG3nyZYoDT+vN9to/mvn3+GRNswIa/gnrmpt+vGRhA4Q/UA==" saltValue="LrtHMVkbQOnJy6jKIyGk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55</v>
      </c>
      <c r="J10" s="180">
        <v>11</v>
      </c>
      <c r="K10" s="180">
        <v>8</v>
      </c>
      <c r="L10" s="180">
        <v>58</v>
      </c>
      <c r="M10" s="180">
        <v>3</v>
      </c>
      <c r="N10" s="180">
        <v>3</v>
      </c>
      <c r="O10" s="180">
        <v>0</v>
      </c>
      <c r="P10" s="180">
        <v>3</v>
      </c>
      <c r="Q10" s="180">
        <v>2</v>
      </c>
      <c r="R10" s="180">
        <v>13</v>
      </c>
      <c r="S10" s="180">
        <v>64</v>
      </c>
      <c r="T10" s="180">
        <v>13</v>
      </c>
      <c r="U10" s="180">
        <v>18</v>
      </c>
      <c r="V10" s="180">
        <v>59</v>
      </c>
      <c r="W10" s="180">
        <v>5</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64</v>
      </c>
      <c r="AZ10" s="129">
        <f t="shared" si="0"/>
        <v>13</v>
      </c>
      <c r="BA10" s="129">
        <f t="shared" si="0"/>
        <v>18</v>
      </c>
      <c r="BB10" s="129">
        <f t="shared" si="0"/>
        <v>59</v>
      </c>
      <c r="BC10" s="125">
        <f t="shared" si="0"/>
        <v>5</v>
      </c>
      <c r="BD10" s="126">
        <f>IF(ISNUMBER(BA10/AZ10),BA10/AZ10," - ")</f>
        <v>1.3846153846153846</v>
      </c>
      <c r="BE10" s="127">
        <f>IF(ISNUMBER(BB10/BA10),BB10/BA10, " - ")</f>
        <v>3.2777777777777777</v>
      </c>
      <c r="BF10" s="127">
        <f>IF(ISNUMBER(BC10/BA10),BC10/BA10, " - ")</f>
        <v>0.27777777777777779</v>
      </c>
      <c r="BG10" s="195">
        <f>IF(ISNUMBER((AY10+AZ10)/BA10),(AY10+AZ10)/BA10," - ")</f>
        <v>4.2777777777777777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7908</v>
      </c>
      <c r="J12" s="182">
        <v>1510</v>
      </c>
      <c r="K12" s="182">
        <v>1538</v>
      </c>
      <c r="L12" s="182">
        <v>7880</v>
      </c>
      <c r="M12" s="182">
        <v>363</v>
      </c>
      <c r="N12" s="182">
        <v>888</v>
      </c>
      <c r="O12" s="180">
        <v>519</v>
      </c>
      <c r="P12" s="182">
        <v>243</v>
      </c>
      <c r="Q12" s="182">
        <v>142</v>
      </c>
      <c r="R12" s="182">
        <v>5952</v>
      </c>
      <c r="S12" s="182">
        <v>6146</v>
      </c>
      <c r="T12" s="182">
        <v>2683</v>
      </c>
      <c r="U12" s="182">
        <v>2178</v>
      </c>
      <c r="V12" s="182">
        <v>6651</v>
      </c>
      <c r="W12" s="182">
        <v>526</v>
      </c>
      <c r="X12" s="188">
        <v>1218</v>
      </c>
      <c r="Y12" s="190">
        <v>327</v>
      </c>
      <c r="Z12" s="180">
        <v>207</v>
      </c>
      <c r="AA12" s="180">
        <v>236</v>
      </c>
      <c r="AB12" s="180">
        <v>298</v>
      </c>
      <c r="AC12" s="182">
        <v>0</v>
      </c>
      <c r="AD12" s="182">
        <v>0</v>
      </c>
      <c r="AE12" s="182">
        <v>0</v>
      </c>
      <c r="AF12" s="188">
        <v>0</v>
      </c>
      <c r="AG12" s="201">
        <v>260</v>
      </c>
      <c r="AH12" s="182">
        <v>199</v>
      </c>
      <c r="AI12" s="182">
        <v>189</v>
      </c>
      <c r="AJ12" s="202">
        <v>270</v>
      </c>
      <c r="AK12" s="181">
        <v>0</v>
      </c>
      <c r="AL12" s="182">
        <v>0</v>
      </c>
      <c r="AM12" s="182">
        <v>0</v>
      </c>
      <c r="AN12" s="188">
        <v>0</v>
      </c>
      <c r="AO12" s="258">
        <v>6</v>
      </c>
      <c r="AP12" s="154">
        <v>6</v>
      </c>
      <c r="AQ12" s="154">
        <v>6</v>
      </c>
      <c r="AR12" s="153">
        <v>6</v>
      </c>
      <c r="AS12" s="339" t="s">
        <v>794</v>
      </c>
      <c r="AT12" s="202"/>
      <c r="AU12" s="201"/>
      <c r="AV12" s="202"/>
      <c r="AW12" s="201"/>
      <c r="AX12" s="202"/>
      <c r="AY12" s="126">
        <f t="shared" si="1"/>
        <v>6406</v>
      </c>
      <c r="AZ12" s="127">
        <f t="shared" si="1"/>
        <v>2882</v>
      </c>
      <c r="BA12" s="127">
        <f t="shared" si="1"/>
        <v>2367</v>
      </c>
      <c r="BB12" s="127">
        <f t="shared" si="1"/>
        <v>6921</v>
      </c>
      <c r="BC12" s="125">
        <f>IF(ISNUMBER(X12),X12," - ")</f>
        <v>1218</v>
      </c>
      <c r="BD12" s="126">
        <f t="shared" si="2"/>
        <v>0.82130464954892435</v>
      </c>
      <c r="BE12" s="127">
        <f t="shared" si="3"/>
        <v>2.9239543726235739</v>
      </c>
      <c r="BF12" s="127">
        <f t="shared" si="4"/>
        <v>0.51457541191381495</v>
      </c>
      <c r="BG12" s="195">
        <f t="shared" si="5"/>
        <v>3.9239543726235739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7963</v>
      </c>
      <c r="J13" s="183">
        <f t="shared" si="6"/>
        <v>1521</v>
      </c>
      <c r="K13" s="183">
        <f t="shared" si="6"/>
        <v>1546</v>
      </c>
      <c r="L13" s="183">
        <f t="shared" si="6"/>
        <v>7938</v>
      </c>
      <c r="M13" s="183">
        <f t="shared" si="6"/>
        <v>366</v>
      </c>
      <c r="N13" s="183">
        <f t="shared" si="6"/>
        <v>891</v>
      </c>
      <c r="O13" s="183">
        <f t="shared" si="6"/>
        <v>519</v>
      </c>
      <c r="P13" s="183">
        <f t="shared" si="6"/>
        <v>246</v>
      </c>
      <c r="Q13" s="183">
        <f t="shared" si="6"/>
        <v>144</v>
      </c>
      <c r="R13" s="183">
        <f t="shared" si="6"/>
        <v>5965</v>
      </c>
      <c r="S13" s="183">
        <f t="shared" si="6"/>
        <v>6210</v>
      </c>
      <c r="T13" s="183">
        <f t="shared" si="6"/>
        <v>2696</v>
      </c>
      <c r="U13" s="183">
        <f t="shared" si="6"/>
        <v>2196</v>
      </c>
      <c r="V13" s="183">
        <f t="shared" si="6"/>
        <v>6710</v>
      </c>
      <c r="W13" s="183">
        <f t="shared" si="6"/>
        <v>531</v>
      </c>
      <c r="X13" s="183">
        <f t="shared" si="6"/>
        <v>1228</v>
      </c>
      <c r="Y13" s="183">
        <f t="shared" si="6"/>
        <v>327</v>
      </c>
      <c r="Z13" s="183">
        <f t="shared" si="6"/>
        <v>207</v>
      </c>
      <c r="AA13" s="183">
        <f t="shared" si="6"/>
        <v>236</v>
      </c>
      <c r="AB13" s="183">
        <f t="shared" si="6"/>
        <v>298</v>
      </c>
      <c r="AC13" s="183">
        <f t="shared" si="6"/>
        <v>0</v>
      </c>
      <c r="AD13" s="183">
        <f t="shared" si="6"/>
        <v>0</v>
      </c>
      <c r="AE13" s="183">
        <f t="shared" si="6"/>
        <v>0</v>
      </c>
      <c r="AF13" s="183">
        <f>SUBTOTAL(9,AF9:AF12)</f>
        <v>0</v>
      </c>
      <c r="AG13" s="183">
        <f t="shared" ref="AG13:AT13" si="7">SUBTOTAL(9,AG8:AG12)</f>
        <v>260</v>
      </c>
      <c r="AH13" s="183">
        <f t="shared" si="7"/>
        <v>199</v>
      </c>
      <c r="AI13" s="183">
        <f t="shared" si="7"/>
        <v>189</v>
      </c>
      <c r="AJ13" s="183">
        <f t="shared" si="7"/>
        <v>270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6470</v>
      </c>
      <c r="AZ13" s="183">
        <f>SUBTOTAL(9,AZ8:AZ12)</f>
        <v>2895</v>
      </c>
      <c r="BA13" s="183">
        <f>SUBTOTAL(9,BA8:BA12)</f>
        <v>2385</v>
      </c>
      <c r="BB13" s="183">
        <f>SUBTOTAL(9,BB8:BB12)</f>
        <v>6980</v>
      </c>
      <c r="BC13" s="183">
        <f>SUBTOTAL(9,BC8:BC12)</f>
        <v>1223</v>
      </c>
      <c r="BD13" s="204">
        <f>IF(ISNUMBER(BA13/AZ13),BA13/AZ13," - ")</f>
        <v>0.82383419689119175</v>
      </c>
      <c r="BE13" s="205">
        <f>IF(ISNUMBER(BB13/BA13),BB13/BA13, " - ")</f>
        <v>2.9266247379454926</v>
      </c>
      <c r="BF13" s="205">
        <f>IF(ISNUMBER(BC13/BA13),BC13/BA13, " - ")</f>
        <v>0.51278825995807131</v>
      </c>
      <c r="BG13" s="206">
        <f>IF(ISNUMBER((AY13+AZ13)/BA13),(AY13+AZ13)/BA13," - ")</f>
        <v>3.9266247379454926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1671</v>
      </c>
      <c r="J16" s="182">
        <v>1375</v>
      </c>
      <c r="K16" s="182">
        <v>1311</v>
      </c>
      <c r="L16" s="182">
        <v>1747</v>
      </c>
      <c r="M16" s="182">
        <v>135</v>
      </c>
      <c r="N16" s="182">
        <v>819</v>
      </c>
      <c r="O16" s="180">
        <v>9</v>
      </c>
      <c r="P16" s="182">
        <v>23</v>
      </c>
      <c r="Q16" s="182">
        <v>16</v>
      </c>
      <c r="R16" s="182">
        <v>282</v>
      </c>
      <c r="S16" s="182">
        <v>1517</v>
      </c>
      <c r="T16" s="182">
        <v>1453</v>
      </c>
      <c r="U16" s="182">
        <v>1471</v>
      </c>
      <c r="V16" s="182">
        <v>1527</v>
      </c>
      <c r="W16" s="182">
        <v>218</v>
      </c>
      <c r="X16" s="188">
        <v>794</v>
      </c>
      <c r="Y16" s="201">
        <v>0</v>
      </c>
      <c r="Z16" s="182">
        <v>0</v>
      </c>
      <c r="AA16" s="182">
        <v>0</v>
      </c>
      <c r="AB16" s="182">
        <v>0</v>
      </c>
      <c r="AC16" s="182">
        <v>0</v>
      </c>
      <c r="AD16" s="182">
        <v>10</v>
      </c>
      <c r="AE16" s="182">
        <v>10</v>
      </c>
      <c r="AF16" s="188">
        <v>0</v>
      </c>
      <c r="AG16" s="201">
        <v>0</v>
      </c>
      <c r="AH16" s="182">
        <v>0</v>
      </c>
      <c r="AI16" s="182">
        <v>0</v>
      </c>
      <c r="AJ16" s="202">
        <v>0</v>
      </c>
      <c r="AK16" s="181">
        <v>0</v>
      </c>
      <c r="AL16" s="182">
        <v>7</v>
      </c>
      <c r="AM16" s="182">
        <v>7</v>
      </c>
      <c r="AN16" s="188">
        <v>0</v>
      </c>
      <c r="AO16" s="258">
        <v>6</v>
      </c>
      <c r="AP16" s="154">
        <v>6</v>
      </c>
      <c r="AQ16" s="154">
        <v>6</v>
      </c>
      <c r="AR16" s="154">
        <v>6</v>
      </c>
      <c r="AS16" s="339" t="s">
        <v>487</v>
      </c>
      <c r="AT16" s="202"/>
      <c r="AU16" s="201"/>
      <c r="AV16" s="202"/>
      <c r="AW16" s="201"/>
      <c r="AX16" s="202"/>
      <c r="AY16" s="126">
        <f t="shared" si="9"/>
        <v>1517</v>
      </c>
      <c r="AZ16" s="127">
        <f t="shared" si="9"/>
        <v>1453</v>
      </c>
      <c r="BA16" s="127">
        <f t="shared" si="9"/>
        <v>1471</v>
      </c>
      <c r="BB16" s="127">
        <f t="shared" si="9"/>
        <v>1527</v>
      </c>
      <c r="BC16" s="125">
        <f>IF(ISNUMBER(W16),W16," - ")</f>
        <v>218</v>
      </c>
      <c r="BD16" s="126">
        <f t="shared" ref="BD16" si="11">IF(ISNUMBER(BA16/AZ16),BA16/AZ16," - ")</f>
        <v>1.0123881624225739</v>
      </c>
      <c r="BE16" s="127">
        <f t="shared" ref="BE16" si="12">IF(ISNUMBER(BB16/BA16),BB16/BA16, " - ")</f>
        <v>1.0380693405846364</v>
      </c>
      <c r="BF16" s="127">
        <f t="shared" ref="BF16" si="13">IF(ISNUMBER(BC16/BA16),BC16/BA16, " - ")</f>
        <v>0.14819850441876276</v>
      </c>
      <c r="BG16" s="195">
        <f t="shared" si="10"/>
        <v>2.0190346702923181</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285</v>
      </c>
      <c r="J17" s="182">
        <v>206</v>
      </c>
      <c r="K17" s="182">
        <v>209</v>
      </c>
      <c r="L17" s="182">
        <v>282</v>
      </c>
      <c r="M17" s="182">
        <v>26</v>
      </c>
      <c r="N17" s="182">
        <v>129</v>
      </c>
      <c r="O17" s="182">
        <v>0</v>
      </c>
      <c r="P17" s="182">
        <v>4</v>
      </c>
      <c r="Q17" s="182">
        <v>1</v>
      </c>
      <c r="R17" s="182">
        <v>10</v>
      </c>
      <c r="S17" s="182">
        <v>239</v>
      </c>
      <c r="T17" s="182">
        <v>187</v>
      </c>
      <c r="U17" s="182">
        <v>212</v>
      </c>
      <c r="V17" s="182">
        <v>214</v>
      </c>
      <c r="W17" s="182">
        <v>14</v>
      </c>
      <c r="X17" s="188">
        <v>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239</v>
      </c>
      <c r="AZ17" s="129">
        <f t="shared" si="14"/>
        <v>187</v>
      </c>
      <c r="BA17" s="129">
        <f t="shared" si="14"/>
        <v>212</v>
      </c>
      <c r="BB17" s="129">
        <f t="shared" si="14"/>
        <v>214</v>
      </c>
      <c r="BC17" s="125">
        <f>IF(ISNUMBER(W17),W17," - ")</f>
        <v>14</v>
      </c>
      <c r="BD17" s="126">
        <f>IF(ISNUMBER(BA17/AZ17),BA17/AZ17," - ")</f>
        <v>1.1336898395721926</v>
      </c>
      <c r="BE17" s="127">
        <f>IF(ISNUMBER(BB17/BA17),BB17/BA17, " - ")</f>
        <v>1.0094339622641511</v>
      </c>
      <c r="BF17" s="127">
        <f>IF(ISNUMBER(BC17/BA17),BC17/BA17, " - ")</f>
        <v>6.6037735849056603E-2</v>
      </c>
      <c r="BG17" s="195">
        <f>IF(ISNUMBER((AY17+AZ17)/BA17),(AY17+AZ17)/BA17," - ")</f>
        <v>2.0094339622641511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1956</v>
      </c>
      <c r="J18" s="183">
        <f t="shared" si="15"/>
        <v>1581</v>
      </c>
      <c r="K18" s="183">
        <f t="shared" si="15"/>
        <v>1520</v>
      </c>
      <c r="L18" s="183">
        <f t="shared" si="15"/>
        <v>2029</v>
      </c>
      <c r="M18" s="183">
        <f t="shared" si="15"/>
        <v>161</v>
      </c>
      <c r="N18" s="183">
        <f t="shared" si="15"/>
        <v>948</v>
      </c>
      <c r="O18" s="183">
        <f t="shared" si="15"/>
        <v>9</v>
      </c>
      <c r="P18" s="183">
        <f t="shared" si="15"/>
        <v>27</v>
      </c>
      <c r="Q18" s="183">
        <f t="shared" si="15"/>
        <v>17</v>
      </c>
      <c r="R18" s="183">
        <f t="shared" si="15"/>
        <v>292</v>
      </c>
      <c r="S18" s="183">
        <f t="shared" si="15"/>
        <v>1756</v>
      </c>
      <c r="T18" s="183">
        <f t="shared" si="15"/>
        <v>1640</v>
      </c>
      <c r="U18" s="183">
        <f t="shared" si="15"/>
        <v>1683</v>
      </c>
      <c r="V18" s="183">
        <f t="shared" si="15"/>
        <v>1741</v>
      </c>
      <c r="W18" s="183">
        <f t="shared" si="15"/>
        <v>232</v>
      </c>
      <c r="X18" s="183">
        <f t="shared" si="15"/>
        <v>890</v>
      </c>
      <c r="Y18" s="183">
        <f t="shared" si="15"/>
        <v>0</v>
      </c>
      <c r="Z18" s="183">
        <f t="shared" si="15"/>
        <v>0</v>
      </c>
      <c r="AA18" s="183">
        <f t="shared" si="15"/>
        <v>0</v>
      </c>
      <c r="AB18" s="183">
        <f t="shared" si="15"/>
        <v>0</v>
      </c>
      <c r="AC18" s="183">
        <f t="shared" si="15"/>
        <v>0</v>
      </c>
      <c r="AD18" s="183">
        <f t="shared" si="15"/>
        <v>10</v>
      </c>
      <c r="AE18" s="183">
        <f t="shared" si="15"/>
        <v>10</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1756</v>
      </c>
      <c r="AZ18" s="183">
        <f>SUBTOTAL(9,AZ14:AZ17)</f>
        <v>1640</v>
      </c>
      <c r="BA18" s="183">
        <f>SUBTOTAL(9,BA14:BA17)</f>
        <v>1683</v>
      </c>
      <c r="BB18" s="183">
        <f>SUBTOTAL(9,BB14:BB17)</f>
        <v>1741</v>
      </c>
      <c r="BC18" s="183">
        <f>SUBTOTAL(9,BC14:BC17)</f>
        <v>232</v>
      </c>
      <c r="BD18" s="204">
        <f>IF(ISNUMBER(BA18/AZ18),BA18/AZ18," - ")</f>
        <v>1.0262195121951219</v>
      </c>
      <c r="BE18" s="205">
        <f>IF(ISNUMBER(BB18/BA18),BB18/BA18, " - ")</f>
        <v>1.0344622697563874</v>
      </c>
      <c r="BF18" s="205">
        <f>IF(ISNUMBER(BC18/BA18),BC18/BA18, " - ")</f>
        <v>0.1378490790255496</v>
      </c>
      <c r="BG18" s="206">
        <f>IF(ISNUMBER((AY18+AZ18)/BA18),(AY18+AZ18)/BA18," - ")</f>
        <v>2.0178253119429592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9919</v>
      </c>
      <c r="J19" s="134">
        <f t="shared" si="18"/>
        <v>3102</v>
      </c>
      <c r="K19" s="134">
        <f t="shared" si="18"/>
        <v>3066</v>
      </c>
      <c r="L19" s="134">
        <f t="shared" si="18"/>
        <v>9967</v>
      </c>
      <c r="M19" s="134">
        <f t="shared" si="18"/>
        <v>527</v>
      </c>
      <c r="N19" s="134">
        <f t="shared" si="18"/>
        <v>1839</v>
      </c>
      <c r="O19" s="134">
        <f t="shared" si="18"/>
        <v>528</v>
      </c>
      <c r="P19" s="134">
        <f t="shared" si="18"/>
        <v>273</v>
      </c>
      <c r="Q19" s="134">
        <f t="shared" si="18"/>
        <v>161</v>
      </c>
      <c r="R19" s="134">
        <f t="shared" si="18"/>
        <v>6257</v>
      </c>
      <c r="S19" s="134">
        <f t="shared" si="18"/>
        <v>7966</v>
      </c>
      <c r="T19" s="134">
        <f t="shared" si="18"/>
        <v>4336</v>
      </c>
      <c r="U19" s="134">
        <f t="shared" si="18"/>
        <v>3879</v>
      </c>
      <c r="V19" s="134">
        <f t="shared" si="18"/>
        <v>8451</v>
      </c>
      <c r="W19" s="134">
        <f t="shared" si="18"/>
        <v>763</v>
      </c>
      <c r="X19" s="134">
        <f t="shared" si="18"/>
        <v>2118</v>
      </c>
      <c r="Y19" s="134">
        <f t="shared" si="18"/>
        <v>327</v>
      </c>
      <c r="Z19" s="134">
        <f t="shared" si="18"/>
        <v>207</v>
      </c>
      <c r="AA19" s="134">
        <f t="shared" si="18"/>
        <v>236</v>
      </c>
      <c r="AB19" s="134">
        <f t="shared" si="18"/>
        <v>298</v>
      </c>
      <c r="AC19" s="134">
        <f t="shared" si="18"/>
        <v>0</v>
      </c>
      <c r="AD19" s="134">
        <f t="shared" si="18"/>
        <v>10</v>
      </c>
      <c r="AE19" s="134">
        <f t="shared" si="18"/>
        <v>10</v>
      </c>
      <c r="AF19" s="134">
        <f t="shared" si="18"/>
        <v>0</v>
      </c>
      <c r="AG19" s="134">
        <f t="shared" si="18"/>
        <v>260</v>
      </c>
      <c r="AH19" s="134">
        <f t="shared" si="18"/>
        <v>199</v>
      </c>
      <c r="AI19" s="134">
        <f t="shared" si="18"/>
        <v>189</v>
      </c>
      <c r="AJ19" s="134">
        <f t="shared" si="18"/>
        <v>270</v>
      </c>
      <c r="AK19" s="134">
        <f t="shared" si="18"/>
        <v>0</v>
      </c>
      <c r="AL19" s="134">
        <f t="shared" si="18"/>
        <v>7</v>
      </c>
      <c r="AM19" s="134">
        <f t="shared" si="18"/>
        <v>7</v>
      </c>
      <c r="AN19" s="209">
        <f t="shared" si="18"/>
        <v>0</v>
      </c>
      <c r="AO19" s="210">
        <v>7</v>
      </c>
      <c r="AP19" s="210">
        <v>6</v>
      </c>
      <c r="AQ19" s="210">
        <v>6</v>
      </c>
      <c r="AR19" s="210">
        <v>6</v>
      </c>
      <c r="AS19" s="152">
        <f t="shared" si="18"/>
        <v>0</v>
      </c>
      <c r="AT19" s="152">
        <f t="shared" si="18"/>
        <v>0</v>
      </c>
      <c r="AU19" s="210"/>
      <c r="AV19" s="211"/>
      <c r="AW19" s="210"/>
      <c r="AX19" s="211"/>
      <c r="AY19" s="133">
        <f>SUBTOTAL(9,AY9:AY18)</f>
        <v>8226</v>
      </c>
      <c r="AZ19" s="134">
        <f>SUBTOTAL(9,AZ9:AZ18)</f>
        <v>4535</v>
      </c>
      <c r="BA19" s="134">
        <f>SUBTOTAL(9,BA9:BA18)</f>
        <v>4068</v>
      </c>
      <c r="BB19" s="134">
        <f>SUBTOTAL(9,BB9:BB18)</f>
        <v>8721</v>
      </c>
      <c r="BC19" s="135">
        <f>SUBTOTAL(9,BC9:BC18)</f>
        <v>1455</v>
      </c>
      <c r="BD19" s="212">
        <f>IF(ISNUMBER(BA19/AZ19),BA19/AZ19," - ")</f>
        <v>0.89702315325248072</v>
      </c>
      <c r="BE19" s="209">
        <f>IF(ISNUMBER(BB19/BA19),BB19/BA19, " - ")</f>
        <v>2.1438053097345131</v>
      </c>
      <c r="BF19" s="209">
        <f>IF(ISNUMBER(BC19/BA19),BC19/BA19, " - ")</f>
        <v>0.35766961651917406</v>
      </c>
      <c r="BG19" s="135">
        <f>IF(ISNUMBER((AY19+AZ19)/BA19),(AY19+AZ19)/BA19," - ")</f>
        <v>3.1369223205506391</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VCvhcOyo+hOJTuOCcHGvXmC1eeWcIO6ux9usXoFsUObJczqQDgXhLT+VFiqodcdlhK2XG/MqvxeqvKR/+H9w==" saltValue="9CFYSfSvnlzrtUiJrufR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5hxngcb693iu7Zf2KRRQdsmjy8DYUiIfokHHKOqtnCZcjGQCwGi5v/9Ny2gsiY/sIn2hs3AORH0pi0OcWkVvg==" saltValue="73ocFhMArKN2nUwr8/luB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COLMENAR VIEJO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55</v>
      </c>
      <c r="G10" s="332">
        <f>IF(ISNUMBER(Datos!I10),Datos!I10," - ")</f>
        <v>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2</v>
      </c>
      <c r="AD10" s="333"/>
      <c r="AE10" s="483"/>
      <c r="AF10" s="331">
        <f>IF(ISNUMBER(Datos!L10),Datos!L10,"-")</f>
        <v>58</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3</v>
      </c>
      <c r="BE10" s="228" t="str">
        <f>IF(ISNUMBER(Datos!BW10),Datos!BW10," - ")</f>
        <v xml:space="preserve"> - </v>
      </c>
      <c r="BF10" s="227" t="str">
        <f>IF(ISNUMBER(Datos!BX10),Datos!BX10," - ")</f>
        <v xml:space="preserve"> - </v>
      </c>
      <c r="BG10" s="242">
        <f>IF(ISNUMBER(Datos!K10/Datos!J10),Datos!K10/Datos!J10," - ")</f>
        <v>0.72727272727272729</v>
      </c>
      <c r="BH10" s="259">
        <f>IF(ISNUMBER(((Datos!L10/Datos!K10)*11)/factor_trimestre),((Datos!L10/Datos!K10)*11)/factor_trimestre," - ")</f>
        <v>21.75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207</v>
      </c>
      <c r="O12" s="333"/>
      <c r="P12" s="333"/>
      <c r="Q12" s="225">
        <f>IF(ISNUMBER(Datos!P12),Datos!P12,0)</f>
        <v>243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298</v>
      </c>
      <c r="AI12" s="333" t="str">
        <f>IF(ISNUMBER(Datos!CD12),Datos!CD12,"-")</f>
        <v>-</v>
      </c>
      <c r="AJ12" s="333" t="str">
        <f>IF(ISNUMBER(Datos!EN12),Datos!EN12," - ")</f>
        <v xml:space="preserve"> - </v>
      </c>
      <c r="AK12" s="333"/>
      <c r="AL12" s="478"/>
      <c r="AM12" s="334">
        <f>IF(ISNUMBER(Datos!R12),Datos!R12," - ")</f>
        <v>5952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363</v>
      </c>
      <c r="BD12" s="228">
        <f>IF(ISNUMBER(Datos!N12),Datos!N12," - ")</f>
        <v>888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1.0331974373907979</v>
      </c>
      <c r="BH12" s="259">
        <f>IF(ISNUMBER(((IF(J_V="SI",Datos!L12/Datos!K12,(Datos!L12+Datos!AB12)/(Datos!K12+Datos!AA12)))*11)/factor_trimestre),((IF(J_V="SI",Datos!L12/Datos!K12,(Datos!L12+Datos!AB12)/(Datos!K12+Datos!AA12)))*11)/factor_trimestre," - ")</f>
        <v>13.829763246899661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1.7262006494616306E-2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55</v>
      </c>
      <c r="G13" s="897">
        <f t="shared" si="0"/>
        <v>55</v>
      </c>
      <c r="H13" s="898">
        <f t="shared" si="0"/>
        <v>0</v>
      </c>
      <c r="I13" s="897">
        <f t="shared" si="0"/>
        <v>0</v>
      </c>
      <c r="J13" s="866">
        <f t="shared" si="0"/>
        <v>0</v>
      </c>
      <c r="K13" s="866">
        <f t="shared" si="0"/>
        <v>0</v>
      </c>
      <c r="L13" s="898">
        <f t="shared" si="0"/>
        <v>0</v>
      </c>
      <c r="M13" s="898">
        <f t="shared" si="0"/>
        <v>0</v>
      </c>
      <c r="N13" s="898">
        <f t="shared" si="0"/>
        <v>207</v>
      </c>
      <c r="O13" s="899">
        <f t="shared" si="0"/>
        <v>0</v>
      </c>
      <c r="P13" s="899">
        <f t="shared" si="0"/>
        <v>0</v>
      </c>
      <c r="Q13" s="898">
        <f t="shared" si="0"/>
        <v>246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144</v>
      </c>
      <c r="AD13" s="898">
        <f t="shared" si="1"/>
        <v>0</v>
      </c>
      <c r="AE13" s="898">
        <f t="shared" si="1"/>
        <v>0</v>
      </c>
      <c r="AF13" s="898">
        <f t="shared" si="1"/>
        <v>58</v>
      </c>
      <c r="AG13" s="898">
        <f t="shared" si="1"/>
        <v>0</v>
      </c>
      <c r="AH13" s="898">
        <f t="shared" si="1"/>
        <v>298</v>
      </c>
      <c r="AI13" s="898">
        <f t="shared" si="1"/>
        <v>0</v>
      </c>
      <c r="AJ13" s="898">
        <f t="shared" si="1"/>
        <v>0</v>
      </c>
      <c r="AK13" s="898">
        <f t="shared" si="1"/>
        <v>0</v>
      </c>
      <c r="AL13" s="898">
        <f t="shared" si="1"/>
        <v>0</v>
      </c>
      <c r="AM13" s="898">
        <f t="shared" si="1"/>
        <v>5965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366</v>
      </c>
      <c r="BD13" s="898">
        <f t="shared" si="1"/>
        <v>891</v>
      </c>
      <c r="BE13" s="898">
        <f t="shared" si="1"/>
        <v>0</v>
      </c>
      <c r="BF13" s="898">
        <f t="shared" si="1"/>
        <v>0</v>
      </c>
      <c r="BG13" s="898">
        <f>IF(ISNUMBER(Datos!K13/Datos!J13),Datos!K13/Datos!J13," - ")</f>
        <v>1.0164365548980934</v>
      </c>
      <c r="BH13" s="902">
        <f>IF(ISNUMBER(((Datos!L13/Datos!K13)*11)/factor_trimestre),((Datos!L13/Datos!K13)*11)/factor_trimestre," - ")</f>
        <v>15.403622250970246</v>
      </c>
      <c r="BI13" s="898">
        <f>IF(ISNUMBER('Resol  Asuntos'!D13/NºAsuntos!G13),'Resol  Asuntos'!D13/NºAsuntos!G13," - ")</f>
        <v>0.2053872053872054</v>
      </c>
      <c r="BJ13" s="898" t="str">
        <f>IF(ISNUMBER(Datos!CI13/Datos!CJ13),Datos!CI13/Datos!CJ13," - ")</f>
        <v xml:space="preserve"> - </v>
      </c>
      <c r="BK13" s="898">
        <f>SUBTOTAL(9,BK8:BK12)</f>
        <v>0</v>
      </c>
      <c r="BL13" s="898">
        <f>IF(ISNUMBER((I13-AB13+L13)/(F13)),(I13-AB13+L13)/(F13)," - ")</f>
        <v>-0.14545454545454545</v>
      </c>
      <c r="BM13" s="903">
        <f>SUBTOTAL(9,BM9:BM12)</f>
        <v>0.10059533982794963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1683</v>
      </c>
      <c r="G16" s="597">
        <f>IF(ISNUMBER(IF(D_I="SI",Datos!I16,Datos!I16+Datos!AC16)),IF(D_I="SI",Datos!I16,Datos!I16+Datos!AC16)," - ")</f>
        <v>1671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1311</v>
      </c>
      <c r="AC16" s="225">
        <f>IF(ISNUMBER(Datos!Q16),Datos!Q16," - ")</f>
        <v>16</v>
      </c>
      <c r="AD16" s="333"/>
      <c r="AE16" s="483"/>
      <c r="AF16" s="595">
        <f>IF(ISNUMBER(IF(D_I="SI",Datos!L16,Datos!L16+Datos!AF16)),IF(D_I="SI",Datos!L16,Datos!L16+Datos!AF16)," - ")</f>
        <v>1747</v>
      </c>
      <c r="AG16" s="333"/>
      <c r="AH16" s="333"/>
      <c r="AI16" s="333"/>
      <c r="AJ16" s="333"/>
      <c r="AK16" s="333"/>
      <c r="AL16" s="478"/>
      <c r="AM16" s="334">
        <f>IF(ISNUMBER(Datos!R16),Datos!R16," - ")</f>
        <v>282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135</v>
      </c>
      <c r="BD16" s="228">
        <f>IF(ISNUMBER(Datos!N16),Datos!N16," - ")</f>
        <v>819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0.95345454545454544</v>
      </c>
      <c r="BH16" s="259">
        <f>IF(ISNUMBER(((IF(D_I="SI",Datos!L16/Datos!K16,(Datos!L16+Datos!AF16)/(Datos!K16+Datos!AE16)))*11)/factor_trimestre),((IF(D_I="SI",Datos!L16/Datos!K16,(Datos!L16+Datos!AF16)/(Datos!K16+Datos!AE16)))*11)/factor_trimestre," - ")</f>
        <v>3.9977116704805495</v>
      </c>
      <c r="BI16" s="242">
        <f>IF(ISNUMBER('Resol  Asuntos'!D16/NºAsuntos!G16),'Resol  Asuntos'!D16/NºAsuntos!G16," - ")</f>
        <v>0.10297482837528604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209</v>
      </c>
      <c r="AC17" s="225">
        <f>IF(ISNUMBER(Datos!Q17),Datos!Q17," - ")</f>
        <v>1</v>
      </c>
      <c r="AD17" s="333"/>
      <c r="AE17" s="483"/>
      <c r="AF17" s="331">
        <f>IF(ISNUMBER(Datos!L17),Datos!L17,"-")</f>
        <v>282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26</v>
      </c>
      <c r="BD17" s="228">
        <f>IF(ISNUMBER(Datos!N17),Datos!N17," - ")</f>
        <v>129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1.0145631067961165</v>
      </c>
      <c r="BH17" s="259">
        <f>IF(ISNUMBER(((IF(D_I="SI",Datos!L17/Datos!K17,(Datos!L17+Datos!AF17)/(Datos!K17+Datos!AE17)))*11)/factor_trimestre),((IF(D_I="SI",Datos!L17/Datos!K17,(Datos!L17+Datos!AF17)/(Datos!K17+Datos!AE17)))*11)/factor_trimestre," - ")</f>
        <v>4.0478468899521527</v>
      </c>
      <c r="BI17" s="242">
        <f>IF(ISNUMBER('Resol  Asuntos'!D17/NºAsuntos!G17),'Resol  Asuntos'!D17/NºAsuntos!G17," - ")</f>
        <v>0.12440191387559808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1683</v>
      </c>
      <c r="G18" s="897">
        <f>SUBTOTAL(9,G15:G17)</f>
        <v>1956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1520</v>
      </c>
      <c r="AC18" s="898">
        <f t="shared" si="4"/>
        <v>17</v>
      </c>
      <c r="AD18" s="898">
        <f t="shared" si="4"/>
        <v>0</v>
      </c>
      <c r="AE18" s="898">
        <f t="shared" si="4"/>
        <v>0</v>
      </c>
      <c r="AF18" s="898">
        <f t="shared" si="4"/>
        <v>2029</v>
      </c>
      <c r="AG18" s="898">
        <f t="shared" si="4"/>
        <v>0</v>
      </c>
      <c r="AH18" s="898">
        <f t="shared" si="4"/>
        <v>0</v>
      </c>
      <c r="AI18" s="898">
        <f t="shared" si="4"/>
        <v>0</v>
      </c>
      <c r="AJ18" s="898">
        <f t="shared" si="4"/>
        <v>0</v>
      </c>
      <c r="AK18" s="898">
        <f t="shared" si="4"/>
        <v>0</v>
      </c>
      <c r="AL18" s="898">
        <f t="shared" si="4"/>
        <v>0</v>
      </c>
      <c r="AM18" s="898">
        <f t="shared" si="4"/>
        <v>292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161</v>
      </c>
      <c r="BD18" s="898">
        <f t="shared" si="4"/>
        <v>948</v>
      </c>
      <c r="BE18" s="898">
        <f t="shared" si="4"/>
        <v>0</v>
      </c>
      <c r="BF18" s="898">
        <f t="shared" si="4"/>
        <v>0</v>
      </c>
      <c r="BG18" s="898">
        <f>IF(ISNUMBER(Datos!K18/Datos!J18),Datos!K18/Datos!J18," - ")</f>
        <v>0.96141682479443391</v>
      </c>
      <c r="BH18" s="902">
        <f>IF(ISNUMBER(((Datos!L18/Datos!K18)*11)/factor_trimestre),((Datos!L18/Datos!K18)*11)/factor_trimestre," - ")</f>
        <v>4.0046052631578952</v>
      </c>
      <c r="BI18" s="898">
        <f>SUBTOTAL(9,BI15:BI17)</f>
        <v>0.22737674225088411</v>
      </c>
      <c r="BJ18" s="898">
        <f>SUBTOTAL(9,BJ15:BJ17)</f>
        <v>0</v>
      </c>
      <c r="BK18" s="898">
        <f>SUBTOTAL(9,BK15:BK17)</f>
        <v>0</v>
      </c>
      <c r="BL18" s="898">
        <f>IF(ISNUMBER((I18-AB18+L18)/(F18)),(I18-AB18+L18)/(F18)," - ")</f>
        <v>-0.90314913844325606</v>
      </c>
      <c r="BM18" s="904">
        <f>IF(ISNUMBER((Datos!P18-Datos!Q18)/(Datos!R18-Datos!P18+Datos!Q18)),(Datos!P18-Datos!Q18)/(Datos!R18-Datos!P18+Datos!Q18)," - ")</f>
        <v>3.5460992907801421E-2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1738</v>
      </c>
      <c r="G19" s="819">
        <f t="shared" si="6"/>
        <v>2011</v>
      </c>
      <c r="H19" s="821">
        <f t="shared" si="6"/>
        <v>0</v>
      </c>
      <c r="I19" s="819">
        <f t="shared" si="6"/>
        <v>0</v>
      </c>
      <c r="J19" s="821">
        <f t="shared" si="6"/>
        <v>0</v>
      </c>
      <c r="K19" s="821">
        <f t="shared" si="6"/>
        <v>0</v>
      </c>
      <c r="L19" s="880">
        <f t="shared" si="6"/>
        <v>0</v>
      </c>
      <c r="M19" s="880">
        <f t="shared" si="6"/>
        <v>0</v>
      </c>
      <c r="N19" s="880">
        <f t="shared" si="6"/>
        <v>207</v>
      </c>
      <c r="O19" s="880">
        <f t="shared" si="6"/>
        <v>0</v>
      </c>
      <c r="P19" s="880">
        <f t="shared" si="6"/>
        <v>0</v>
      </c>
      <c r="Q19" s="821">
        <f t="shared" si="6"/>
        <v>273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1528</v>
      </c>
      <c r="AC19" s="820">
        <f t="shared" si="7"/>
        <v>161</v>
      </c>
      <c r="AD19" s="820">
        <f t="shared" si="7"/>
        <v>0</v>
      </c>
      <c r="AE19" s="820">
        <f t="shared" si="7"/>
        <v>0</v>
      </c>
      <c r="AF19" s="827">
        <f t="shared" si="7"/>
        <v>2087</v>
      </c>
      <c r="AG19" s="827">
        <f t="shared" si="7"/>
        <v>0</v>
      </c>
      <c r="AH19" s="827">
        <f t="shared" si="7"/>
        <v>298</v>
      </c>
      <c r="AI19" s="827">
        <f t="shared" si="7"/>
        <v>0</v>
      </c>
      <c r="AJ19" s="820">
        <f t="shared" si="7"/>
        <v>0</v>
      </c>
      <c r="AK19" s="827">
        <f t="shared" si="7"/>
        <v>0</v>
      </c>
      <c r="AL19" s="827">
        <f t="shared" si="7"/>
        <v>0</v>
      </c>
      <c r="AM19" s="827">
        <f t="shared" si="7"/>
        <v>6257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527</v>
      </c>
      <c r="BD19" s="819">
        <f t="shared" si="7"/>
        <v>1839</v>
      </c>
      <c r="BE19" s="819">
        <f t="shared" si="7"/>
        <v>0</v>
      </c>
      <c r="BF19" s="829">
        <f t="shared" si="7"/>
        <v>0</v>
      </c>
      <c r="BG19" s="914">
        <f>IF(ISNUMBER(Datos!K19/Datos!J19),Datos!K19/Datos!J19," - ")</f>
        <v>0.98839458413926495</v>
      </c>
      <c r="BH19" s="914">
        <f>IF(ISNUMBER(((Datos!L19/Datos!K19)*11)/factor_trimestre),((Datos!L19/Datos!K19)*11)/factor_trimestre," - ")</f>
        <v>9.752446183953035</v>
      </c>
      <c r="BI19" s="812">
        <f>IF(ISNUMBER(Datos!J19/Datos!I19),Datos!J19/Datos!I19," - ")</f>
        <v>0.31273313842121181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-0.87917146144994252</v>
      </c>
      <c r="BM19" s="888">
        <f>IF(ISNUMBER((Datos!P19-Datos!Q19+R19)/(Datos!R19-Datos!P19+Datos!Q19-R19)),(Datos!P19-Datos!Q19+R19)/(Datos!R19-Datos!P19+Datos!Q19-R19)," - ")</f>
        <v>1.8226200162733928E-2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939.92623824071075</v>
      </c>
      <c r="G21" s="551">
        <f>IF(ISNUMBER(STDEV(G8:G18)),STDEV(G8:G18),"-")</f>
        <v>931.41762920829456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742.47942732442084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158.36876796473055</v>
      </c>
      <c r="BD21" s="550"/>
      <c r="BE21" s="550">
        <f>IF(ISNUMBER(STDEV(BE8:BE18)),STDEV(BE8:BE18),"-")</f>
        <v>0</v>
      </c>
      <c r="BF21" s="555">
        <f>IF(ISNUMBER(STDEV(BF8:BF18)),STDEV(BF8:BF18),"-")</f>
        <v>0</v>
      </c>
      <c r="BG21" s="774">
        <f>IF(ISNUMBER(STDEV(BG8:BG18)),STDEV(BG8:BG18),"-")</f>
        <v>0.11423400384103569</v>
      </c>
      <c r="BH21" s="775">
        <f>IF(ISNUMBER(STDEV(BH8:BH18)),STDEV(BH8:BH18),"-")</f>
        <v>7.5867691797086731</v>
      </c>
      <c r="BI21" s="248">
        <f>IF(ISNUMBER(STDEV(BI8:BI18)),STDEV(BI8:BI18),"-")</f>
        <v>6.0600621274180276E-2</v>
      </c>
      <c r="BJ21" s="229" t="str">
        <f>IF(ISNUMBER(BL21/BM21),BL21/BM21," - ")</f>
        <v xml:space="preserve"> - </v>
      </c>
      <c r="BK21" s="574"/>
      <c r="BL21" s="558">
        <f>IF(ISNUMBER(STDEV(BL8:BL18)),STDEV(BL8:BL18),"-")</f>
        <v>0.53577098477069851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b+aNxrzcu2dq0uRWufO286bKM68+PBRxf4AQagVVIMMuk3eokcXRialTOvPY0B+5JlibfwYfjismTsqaW/6FQ==" saltValue="vZPA8QM77V+o67vDvS2f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COLMENAR VIEJO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55</v>
      </c>
      <c r="G10" s="224">
        <f>IF(ISNUMBER(Datos!I10),Datos!I10," - ")</f>
        <v>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2</v>
      </c>
      <c r="AA10" s="331">
        <f>IF(ISNUMBER(Datos!L10),Datos!L10,"-")</f>
        <v>58</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3</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142</v>
      </c>
      <c r="AA12" s="331" t="str">
        <f>IF(ISNUMBER(IF(J_V="SI",Datos!L12,Datos!L12+Datos!AB12)-IF(Monitorios="SI",Datos!CD12,0)),
                          IF(J_V="SI",Datos!L12,Datos!L12+Datos!AB12)-IF(Monitorios="SI",Datos!CD12,0),
                          " - ")</f>
        <v xml:space="preserve"> - </v>
      </c>
      <c r="AB12" s="333"/>
      <c r="AC12" s="333"/>
      <c r="AD12" s="483"/>
      <c r="AE12" s="483">
        <f>IF(ISNUMBER(Datos!R12),Datos!R12," - ")</f>
        <v>5952</v>
      </c>
      <c r="AF12" s="228" t="str">
        <f>IF(ISNUMBER(Datos!BV12),Datos!BV12," - ")</f>
        <v xml:space="preserve"> - </v>
      </c>
      <c r="AG12" s="224" t="str">
        <f>IF(ISNUMBER(Datos!DV12),Datos!DV12," - ")</f>
        <v xml:space="preserve"> - </v>
      </c>
      <c r="AH12" s="297"/>
      <c r="AI12" s="226"/>
      <c r="AJ12" s="224">
        <f>IF(ISNUMBER(Datos!M12),Datos!M12," - ")</f>
        <v>363</v>
      </c>
      <c r="AK12" s="228">
        <f>IF(ISNUMBER(Datos!N12),Datos!N12," - ")</f>
        <v>888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13.829763246899661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1.7262006494616306E-2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55</v>
      </c>
      <c r="G13" s="897">
        <f>SUBTOTAL(9,G8:G12)</f>
        <v>55</v>
      </c>
      <c r="H13" s="907"/>
      <c r="I13" s="897">
        <f t="shared" ref="I13:N13" si="0">SUBTOTAL(9,I8:I12)</f>
        <v>0</v>
      </c>
      <c r="J13" s="866">
        <f t="shared" si="0"/>
        <v>0</v>
      </c>
      <c r="K13" s="907">
        <f t="shared" si="0"/>
        <v>0</v>
      </c>
      <c r="L13" s="907">
        <f t="shared" si="0"/>
        <v>0</v>
      </c>
      <c r="M13" s="907">
        <f t="shared" si="0"/>
        <v>0</v>
      </c>
      <c r="N13" s="907">
        <f t="shared" si="0"/>
        <v>246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144</v>
      </c>
      <c r="AA13" s="899">
        <f t="shared" si="2"/>
        <v>58</v>
      </c>
      <c r="AB13" s="899">
        <f t="shared" si="2"/>
        <v>0</v>
      </c>
      <c r="AC13" s="899">
        <f t="shared" si="2"/>
        <v>0</v>
      </c>
      <c r="AD13" s="899">
        <f t="shared" si="2"/>
        <v>0</v>
      </c>
      <c r="AE13" s="899">
        <f t="shared" si="2"/>
        <v>5965</v>
      </c>
      <c r="AF13" s="907">
        <f t="shared" si="2"/>
        <v>0</v>
      </c>
      <c r="AG13" s="907">
        <f t="shared" si="2"/>
        <v>0</v>
      </c>
      <c r="AH13" s="907">
        <f t="shared" si="2"/>
        <v>0</v>
      </c>
      <c r="AI13" s="907">
        <f t="shared" si="2"/>
        <v>0</v>
      </c>
      <c r="AJ13" s="907">
        <f t="shared" si="2"/>
        <v>366</v>
      </c>
      <c r="AK13" s="907">
        <f t="shared" si="2"/>
        <v>891</v>
      </c>
      <c r="AL13" s="907">
        <f t="shared" si="2"/>
        <v>0</v>
      </c>
      <c r="AM13" s="907">
        <f t="shared" si="2"/>
        <v>0</v>
      </c>
      <c r="AN13" s="907">
        <f t="shared" si="2"/>
        <v>0</v>
      </c>
      <c r="AO13" s="903">
        <f>IF(ISNUMBER(((NºAsuntos!I13/NºAsuntos!G13)*11)/factor_trimestre),((NºAsuntos!I13/NºAsuntos!G13)*11)/factor_trimestre," - ")</f>
        <v>13.865319865319863</v>
      </c>
      <c r="AP13" s="909" t="str">
        <f>IF(ISNUMBER(Datos!CI13/Datos!CJ13),Datos!CI13/Datos!CJ13," - ")</f>
        <v xml:space="preserve"> - </v>
      </c>
      <c r="AQ13" s="927">
        <f t="shared" ref="AQ13:AV13" si="3">SUBTOTAL(9,AQ9:AQ12)</f>
        <v>0</v>
      </c>
      <c r="AR13" s="927">
        <f t="shared" si="3"/>
        <v>0.10059533982794963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1683</v>
      </c>
      <c r="G16" s="224">
        <f>IF(ISNUMBER(IF(D_I="SI",Datos!I16,Datos!I16+Datos!AC16)),IF(D_I="SI",Datos!I16,Datos!I16+Datos!AC16)," - ")</f>
        <v>1671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1311</v>
      </c>
      <c r="Z16" s="618">
        <f>IF(ISNUMBER(Datos!Q16),Datos!Q16," - ")</f>
        <v>16</v>
      </c>
      <c r="AA16" s="331">
        <f>IF(ISNUMBER(IF(D_I="SI",Datos!L16,Datos!L16+Datos!AF16)),IF(D_I="SI",Datos!L16,Datos!L16+Datos!AF16)," - ")</f>
        <v>1747</v>
      </c>
      <c r="AB16" s="333"/>
      <c r="AC16" s="333"/>
      <c r="AD16" s="483"/>
      <c r="AE16" s="483">
        <f>IF(ISNUMBER(Datos!R16),Datos!R16," - ")</f>
        <v>282</v>
      </c>
      <c r="AF16" s="228" t="str">
        <f>IF(ISNUMBER(Datos!BV16),Datos!BV16," - ")</f>
        <v xml:space="preserve"> - </v>
      </c>
      <c r="AG16" s="224"/>
      <c r="AH16" s="297"/>
      <c r="AI16" s="226"/>
      <c r="AJ16" s="224">
        <f>IF(ISNUMBER(Datos!M16),Datos!M16," - ")</f>
        <v>135</v>
      </c>
      <c r="AK16" s="228">
        <f>IF(ISNUMBER(Datos!N16),Datos!N16," - ")</f>
        <v>819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3.9977116704805495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209</v>
      </c>
      <c r="Z17" s="618">
        <f>IF(ISNUMBER(Datos!Q17),Datos!Q17," - ")</f>
        <v>1</v>
      </c>
      <c r="AA17" s="331">
        <f>IF(ISNUMBER(Datos!L17),Datos!L17,"-")</f>
        <v>282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26</v>
      </c>
      <c r="AK17" s="228">
        <f>IF(ISNUMBER(Datos!N17),Datos!N17," - ")</f>
        <v>129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4.0478468899521527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1683</v>
      </c>
      <c r="G18" s="897">
        <f>SUBTOTAL(9,G15:G17)</f>
        <v>1956</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1520</v>
      </c>
      <c r="Z18" s="931">
        <f t="shared" si="5"/>
        <v>17</v>
      </c>
      <c r="AA18" s="931">
        <f t="shared" si="5"/>
        <v>2029</v>
      </c>
      <c r="AB18" s="931">
        <f t="shared" si="5"/>
        <v>0</v>
      </c>
      <c r="AC18" s="931">
        <f t="shared" si="5"/>
        <v>0</v>
      </c>
      <c r="AD18" s="931">
        <f t="shared" si="5"/>
        <v>0</v>
      </c>
      <c r="AE18" s="931">
        <f t="shared" si="5"/>
        <v>292</v>
      </c>
      <c r="AF18" s="931">
        <f t="shared" si="5"/>
        <v>0</v>
      </c>
      <c r="AG18" s="931">
        <f t="shared" si="5"/>
        <v>0</v>
      </c>
      <c r="AH18" s="931">
        <f t="shared" si="5"/>
        <v>0</v>
      </c>
      <c r="AI18" s="931">
        <f t="shared" si="5"/>
        <v>0</v>
      </c>
      <c r="AJ18" s="931">
        <f t="shared" si="5"/>
        <v>161</v>
      </c>
      <c r="AK18" s="931">
        <f t="shared" si="5"/>
        <v>948</v>
      </c>
      <c r="AL18" s="931">
        <f t="shared" si="5"/>
        <v>0</v>
      </c>
      <c r="AM18" s="931">
        <f t="shared" si="5"/>
        <v>0</v>
      </c>
      <c r="AN18" s="931">
        <f t="shared" si="5"/>
        <v>0</v>
      </c>
      <c r="AO18" s="933">
        <f>IF(ISNUMBER(((NºAsuntos!I18/NºAsuntos!G18)*11)/factor_trimestre),((NºAsuntos!I18/NºAsuntos!G18)*11)/factor_trimestre," - ")</f>
        <v>4.0046052631578952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1738</v>
      </c>
      <c r="G19" s="819">
        <f t="shared" si="7"/>
        <v>2011</v>
      </c>
      <c r="H19" s="820">
        <f t="shared" si="7"/>
        <v>0</v>
      </c>
      <c r="I19" s="819">
        <f t="shared" si="7"/>
        <v>0</v>
      </c>
      <c r="J19" s="821">
        <f t="shared" si="7"/>
        <v>0</v>
      </c>
      <c r="K19" s="819">
        <f t="shared" si="7"/>
        <v>0</v>
      </c>
      <c r="L19" s="822">
        <f t="shared" si="7"/>
        <v>0</v>
      </c>
      <c r="M19" s="819">
        <f t="shared" si="7"/>
        <v>0</v>
      </c>
      <c r="N19" s="820">
        <f t="shared" si="7"/>
        <v>273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1528</v>
      </c>
      <c r="Z19" s="826">
        <f t="shared" si="8"/>
        <v>161</v>
      </c>
      <c r="AA19" s="827">
        <f t="shared" si="8"/>
        <v>2087</v>
      </c>
      <c r="AB19" s="827">
        <f t="shared" si="8"/>
        <v>0</v>
      </c>
      <c r="AC19" s="827">
        <f t="shared" si="8"/>
        <v>0</v>
      </c>
      <c r="AD19" s="828">
        <f t="shared" si="8"/>
        <v>0</v>
      </c>
      <c r="AE19" s="828">
        <f t="shared" si="8"/>
        <v>6257</v>
      </c>
      <c r="AF19" s="829">
        <f t="shared" si="8"/>
        <v>0</v>
      </c>
      <c r="AG19" s="830">
        <f t="shared" si="8"/>
        <v>0</v>
      </c>
      <c r="AH19" s="831">
        <f t="shared" si="8"/>
        <v>0</v>
      </c>
      <c r="AI19" s="829">
        <f t="shared" si="8"/>
        <v>0</v>
      </c>
      <c r="AJ19" s="819">
        <f t="shared" si="8"/>
        <v>527</v>
      </c>
      <c r="AK19" s="819">
        <f t="shared" si="8"/>
        <v>1839</v>
      </c>
      <c r="AL19" s="819">
        <f t="shared" si="8"/>
        <v>0</v>
      </c>
      <c r="AM19" s="832">
        <f t="shared" si="8"/>
        <v>0</v>
      </c>
      <c r="AN19" s="822">
        <f>IF(ISNUMBER(Datos!K19/Datos!J19),Datos!K19/Datos!J19," - ")</f>
        <v>0.98839458413926495</v>
      </c>
      <c r="AO19" s="822">
        <f>IF(ISNUMBER(FIND("06",Criterios!A8,1)),(IF(ISNUMBER(((Datos!R19/Datos!Q19)*11)/factor_trimestre),((Datos!R19/Datos!Q19)*11)/factor_trimestre," - ")),(IF(ISNUMBER(((Datos!L19/Datos!K19)*11)/factor_trimestre),((Datos!L19/Datos!K19)*11)/factor_trimestre," - ")))</f>
        <v>9.752446183953035</v>
      </c>
      <c r="AP19" s="833" t="str">
        <f>IF(ISNUMBER(Datos!CI19/Datos!CJ19),Datos!CI19/Datos!CJ19," - ")</f>
        <v xml:space="preserve"> - </v>
      </c>
      <c r="AQ19" s="833">
        <f>IF(OR(ISNUMBER(FIND("01",Criterios!A8,1)),ISNUMBER(FIND("02",Criterios!A8,1)),ISNUMBER(FIND("03",Criterios!A8,1)),ISNUMBER(FIND("04",Criterios!A8,1))),(J19-Y19+K19)/(F19-K19),(I19-Y19+K19)/(F19-K19))</f>
        <v>-0.87917146144994252</v>
      </c>
      <c r="AR19" s="833">
        <f>IF(ISNUMBER((Datos!P19-Datos!Q19+O19)/(Datos!R19-Datos!P19+Datos!Q19-O19)),(Datos!P19-Datos!Q19+O19)/(Datos!R19-Datos!P19+Datos!Q19-O19)," - ")</f>
        <v>1.8226200162733928E-2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939.92623824071075</v>
      </c>
      <c r="G21" s="551">
        <f>IF(ISNUMBER(STDEV(G8:G18)),STDEV(G8:G18),"-")</f>
        <v>931.41762920829456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158.36876796473055</v>
      </c>
      <c r="AK21" s="251"/>
      <c r="AL21" s="251">
        <f>IF(ISNUMBER(STDEV(AL8:AL18)),STDEV(AL8:AL18),"-")</f>
        <v>0</v>
      </c>
      <c r="AM21" s="253">
        <f>IF(ISNUMBER(STDEV(AM8:AM18)),STDEV(AM8:AM18),"-")</f>
        <v>0</v>
      </c>
      <c r="AN21" s="538">
        <f>IF(ISNUMBER(STDEV(AN8:AN18)),STDEV(AN8:AN18),"-")</f>
        <v>0</v>
      </c>
      <c r="AO21" s="539">
        <f>IF(ISNUMBER(STDEV(AO8:AO18)),STDEV(AO8:AO18),"-")</f>
        <v>7.4121252936260698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tGI40xFNine6IpIUcf7I0/ufdV17uCZLTDzY2WMbQM2t3lHcyFDo245tzjpu4ohX50YOVd7ak36s1XR//ZKRzw==" saltValue="hMWSMHBOcQNu2l5ropmX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Q5xob9T9+bMmJYfvhfL6hAKKWDbWsX9+NXH72GgI8IMeg0mKIRNdQsrXn5Y6rD4WdhpHVjS+Bfp5kYeGrJRmw==" saltValue="xwX5NhX4XI2mkZ9daWXP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o5PA0vjBGA5pm4gELOVvdNhEAjUOXa5Iqxhg6+uI7Shes8YSYxaRAry41G7NbgZMExDZUwlfHFwynMEMe3QA==" saltValue="u5c+wg/YNi1gNPaFo09fI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COLMENAR VIEJO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0.2053872053872054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0.14523068569824715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nITU2lV5xUVjcL0dTZE40oeCIkcKLjtJGkvRDllzmscPRqxDNUV32DgKpHpxiglXoiI4rbtaT7UN44BYuzMPA==" saltValue="lydTXSBYDlpkpmNPeGfF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1LGC0hPiD3EDccYrKxjPwFzXHOaiIetnY6iKNRBb0gBXqplFzvKCxHAUgScp5HtCssM0jtPhjrpTSrtgLUhLA==" saltValue="hxExz983RHv/z2JLztwV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COLMENAR VIEJO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55</v>
      </c>
      <c r="D10" s="403">
        <f>IF(ISNUMBER(C10/Datos!BH10),C10/Datos!BH10," - ")</f>
        <v>55</v>
      </c>
      <c r="E10" s="402">
        <f>IF(ISNUMBER(Datos!J10),Datos!J10," - ")</f>
        <v>11</v>
      </c>
      <c r="F10" s="403">
        <f>IF(ISNUMBER(E10/B10),E10/B10," - ")</f>
        <v>11</v>
      </c>
      <c r="G10" s="402">
        <f>IF(ISNUMBER(Datos!K10),Datos!K10," - ")</f>
        <v>8</v>
      </c>
      <c r="H10" s="403">
        <f>IF(ISNUMBER(G10/B10),G10/B10," - ")</f>
        <v>8</v>
      </c>
      <c r="I10" s="402">
        <f>IF(ISNUMBER(Datos!L10),Datos!L10," - ")</f>
        <v>58</v>
      </c>
      <c r="J10" s="403">
        <f>IF(ISNUMBER(I10/B10),I10/B10," - ")</f>
        <v>58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8235</v>
      </c>
      <c r="D12" s="403">
        <f>IF(ISNUMBER(C12/Datos!BH12),C12/Datos!BH12," - ")</f>
        <v>1372.5</v>
      </c>
      <c r="E12" s="402">
        <f>IF(ISNUMBER(IF(J_V="SI",Datos!J12,Datos!J12+Datos!Z12)),IF(J_V="SI",Datos!J12,Datos!J12+Datos!Z12)," - ")</f>
        <v>1717</v>
      </c>
      <c r="F12" s="403">
        <f>IF(ISNUMBER(E12/B12),E12/B12," - ")</f>
        <v>286.16666666666669</v>
      </c>
      <c r="G12" s="402">
        <f>IF(ISNUMBER(IF(J_V="SI",Datos!K12,Datos!K12+Datos!AA12)),IF(J_V="SI",Datos!K12,Datos!K12+Datos!AA12)," - ")</f>
        <v>1774</v>
      </c>
      <c r="H12" s="403">
        <f>IF(ISNUMBER(G12/B12),G12/B12," - ")</f>
        <v>295.66666666666669</v>
      </c>
      <c r="I12" s="402">
        <f>IF(ISNUMBER(IF(J_V="SI",Datos!L12,Datos!L12+Datos!AB12)),IF(J_V="SI",Datos!L12,Datos!L12+Datos!AB12)," - ")</f>
        <v>8178</v>
      </c>
      <c r="J12" s="403">
        <f>IF(ISNUMBER(I12/B12),I12/B12," - ")</f>
        <v>1363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8290</v>
      </c>
      <c r="D13" s="849" t="str">
        <f>IF(ISNUMBER(C13/Datos!BI13),C13/Datos!BI13," - ")</f>
        <v xml:space="preserve"> - </v>
      </c>
      <c r="E13" s="848">
        <f>SUBTOTAL(9,E8:E12)</f>
        <v>1728</v>
      </c>
      <c r="F13" s="849">
        <f>IF(ISNUMBER(E13/B13),E13/B13," - ")</f>
        <v>288</v>
      </c>
      <c r="G13" s="848">
        <f>SUBTOTAL(9,G8:G12)</f>
        <v>1782</v>
      </c>
      <c r="H13" s="849">
        <f>IF(ISNUMBER(G13/B13),G13/B13," - ")</f>
        <v>297</v>
      </c>
      <c r="I13" s="848">
        <f>SUBTOTAL(9,I8:I12)</f>
        <v>8236</v>
      </c>
      <c r="J13" s="849">
        <f>IF(ISNUMBER(I13/B13),I13/B13," - ")</f>
        <v>1372.6666666666667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1671</v>
      </c>
      <c r="D16" s="403">
        <f>IF(ISNUMBER(C16/Datos!BH16),C16/Datos!BH16," - ")</f>
        <v>278.5</v>
      </c>
      <c r="E16" s="402">
        <f>IF(ISNUMBER(IF(D_I="SI",Datos!J16,Datos!J16+Datos!AD16)),IF(D_I="SI",Datos!J16,Datos!J16+Datos!AD16)," - ")</f>
        <v>1375</v>
      </c>
      <c r="F16" s="403">
        <f>IF(ISNUMBER(E16/B16),E16/B16," - ")</f>
        <v>229.16666666666666</v>
      </c>
      <c r="G16" s="402">
        <f>IF(ISNUMBER(IF(D_I="SI",Datos!K16,Datos!K16+Datos!AE16)),IF(D_I="SI",Datos!K16,Datos!K16+Datos!AE16)," - ")</f>
        <v>1311</v>
      </c>
      <c r="H16" s="403">
        <f>IF(ISNUMBER(G16/B16),G16/B16," - ")</f>
        <v>218.5</v>
      </c>
      <c r="I16" s="402">
        <f>IF(ISNUMBER(IF(D_I="SI",Datos!L16,Datos!L16+Datos!AF16)),IF(D_I="SI",Datos!L16,Datos!L16+Datos!AF16)," - ")</f>
        <v>1747</v>
      </c>
      <c r="J16" s="403">
        <f>IF(ISNUMBER(I16/B16),I16/B16," - ")</f>
        <v>291.16666666666669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285</v>
      </c>
      <c r="D17" s="403">
        <f>IF(ISNUMBER(C17/Datos!BH17),C17/Datos!BH17," - ")</f>
        <v>285</v>
      </c>
      <c r="E17" s="402">
        <f>IF(ISNUMBER(IF(D_I="SI",Datos!J17,Datos!J17+Datos!AD17)),IF(D_I="SI",Datos!J17,Datos!J17+Datos!AD17)," - ")</f>
        <v>206</v>
      </c>
      <c r="F17" s="403">
        <f>IF(ISNUMBER(E17/B17),E17/B17," - ")</f>
        <v>206</v>
      </c>
      <c r="G17" s="402">
        <f>IF(ISNUMBER(IF(D_I="SI",Datos!K17,Datos!K17+Datos!AE17)),IF(D_I="SI",Datos!K17,Datos!K17+Datos!AE17)," - ")</f>
        <v>209</v>
      </c>
      <c r="H17" s="403">
        <f>IF(ISNUMBER(G17/B17),G17/B17," - ")</f>
        <v>209</v>
      </c>
      <c r="I17" s="402">
        <f>IF(ISNUMBER(IF(D_I="SI",Datos!L17,Datos!L17+Datos!AF17)),IF(D_I="SI",Datos!L17,Datos!L17+Datos!AF17)," - ")</f>
        <v>282</v>
      </c>
      <c r="J17" s="403">
        <f>IF(ISNUMBER(I17/B17),I17/B17," - ")</f>
        <v>282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1956</v>
      </c>
      <c r="D18" s="849" t="str">
        <f>IF(ISNUMBER(C18/Datos!BI18),C18/Datos!BI18," - ")</f>
        <v xml:space="preserve"> - </v>
      </c>
      <c r="E18" s="848">
        <f>SUBTOTAL(9,E14:E17)</f>
        <v>1581</v>
      </c>
      <c r="F18" s="849">
        <f>IF(ISNUMBER(E18/B18),E18/B18," - ")</f>
        <v>263.5</v>
      </c>
      <c r="G18" s="848">
        <f>SUBTOTAL(9,G14:G17)</f>
        <v>1520</v>
      </c>
      <c r="H18" s="849">
        <f>IF(ISNUMBER(G18/B18),G18/B18," - ")</f>
        <v>253.33333333333334</v>
      </c>
      <c r="I18" s="848">
        <f>SUBTOTAL(9,I14:I17)</f>
        <v>2029</v>
      </c>
      <c r="J18" s="849">
        <f>IF(ISNUMBER(I18/B18),I18/B18," - ")</f>
        <v>338.16666666666669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10246</v>
      </c>
      <c r="D19" s="794" t="str">
        <f>IF(ISNUMBER(C19/Datos!BI19),C19/Datos!BI19," - ")</f>
        <v xml:space="preserve"> - </v>
      </c>
      <c r="E19" s="793">
        <f>SUBTOTAL(9,E9:E18)</f>
        <v>3309</v>
      </c>
      <c r="F19" s="794">
        <f>IF(ISNUMBER(E19/B19),E19/B19," - ")</f>
        <v>551.5</v>
      </c>
      <c r="G19" s="793">
        <f>SUBTOTAL(9,G9:G18)</f>
        <v>3302</v>
      </c>
      <c r="H19" s="794">
        <f>IF(ISNUMBER(G19/B19),G19/B19," - ")</f>
        <v>550.33333333333337</v>
      </c>
      <c r="I19" s="793">
        <f>SUBTOTAL(9,I9:I18)</f>
        <v>10265</v>
      </c>
      <c r="J19" s="794">
        <f>IF(ISNUMBER(I19/B19),I19/B19," - ")</f>
        <v>1710.8333333333333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toFIYUZVmLaJzHnCHJlrnpV3AFM3RiwIKOk4PWXJ6SDgX4El7Fpe1ir1/PerybUiwf44IgabAyBiemrEfIBVQ==" saltValue="e8dcbI7iaId+rStaAtc2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COLMENAR VIEJO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55</v>
      </c>
      <c r="G10" s="683">
        <f>IF(ISNUMBER(Datos!I10),Datos!I10," - ")</f>
        <v>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21.75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5952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363</v>
      </c>
      <c r="AM12" s="689">
        <f>IF(ISNUMBER(Datos!N12+DatosP!N16),Datos!N12+DatosP!N16," - ")</f>
        <v>888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13.829763246899661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1.7262006494616306E-2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55</v>
      </c>
      <c r="G13" s="937">
        <f t="shared" si="0"/>
        <v>55</v>
      </c>
      <c r="H13" s="937">
        <f t="shared" si="0"/>
        <v>0</v>
      </c>
      <c r="I13" s="939">
        <f t="shared" si="0"/>
        <v>0</v>
      </c>
      <c r="J13" s="938">
        <f t="shared" si="0"/>
        <v>0</v>
      </c>
      <c r="K13" s="938">
        <f t="shared" si="0"/>
        <v>0</v>
      </c>
      <c r="L13" s="940">
        <f t="shared" si="0"/>
        <v>0</v>
      </c>
      <c r="M13" s="940">
        <f t="shared" si="0"/>
        <v>0</v>
      </c>
      <c r="N13" s="938">
        <f t="shared" si="0"/>
        <v>246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142</v>
      </c>
      <c r="AE13" s="938">
        <f t="shared" si="1"/>
        <v>0</v>
      </c>
      <c r="AF13" s="938">
        <f t="shared" si="1"/>
        <v>58</v>
      </c>
      <c r="AG13" s="938">
        <f t="shared" si="1"/>
        <v>0</v>
      </c>
      <c r="AH13" s="938">
        <f t="shared" si="1"/>
        <v>5952</v>
      </c>
      <c r="AI13" s="938">
        <f t="shared" si="1"/>
        <v>0</v>
      </c>
      <c r="AJ13" s="938">
        <f t="shared" si="1"/>
        <v>0</v>
      </c>
      <c r="AK13" s="938">
        <f t="shared" si="1"/>
        <v>0</v>
      </c>
      <c r="AL13" s="938">
        <f t="shared" si="1"/>
        <v>366</v>
      </c>
      <c r="AM13" s="938">
        <f t="shared" si="1"/>
        <v>891</v>
      </c>
      <c r="AN13" s="938">
        <f t="shared" si="1"/>
        <v>0</v>
      </c>
      <c r="AO13" s="938">
        <f t="shared" si="1"/>
        <v>0</v>
      </c>
      <c r="AP13" s="943">
        <f>IF(ISNUMBER(((Datos!L13/Datos!K13)*11)/factor_trimestre),((Datos!L13/Datos!K13)*11)/factor_trimestre," - ")</f>
        <v>15.403622250970246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-0.14545454545454545</v>
      </c>
      <c r="AU13" s="938" t="str">
        <f>IF(ISNUMBER((DatosP!#REF!-DatosP!#REF!+DatosP!#REF!)/(DatosP!#REF!+DatosP!#REF!-DatosP!#REF!-DatosP!#REF!)),(DatosP!#REF!-DatosP!#REF!+DatosP!#REF!)/(DatosP!#REF!+DatosP!#REF!-DatosP!#REF!-DatosP!#REF!)," - ")</f>
        <v xml:space="preserve"> - </v>
      </c>
      <c r="AV13" s="944">
        <f>SUBTOTAL(9,AV9:AV12)</f>
        <v>1.7262006494616306E-2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4.0046052631578952</v>
      </c>
      <c r="AQ18" s="943">
        <f>IF(ISNUMBER(((Datos!M18/Datos!L18)*11)/factor_trimestre),((Datos!M18/Datos!L18)*11)/factor_trimestre," - ")</f>
        <v>0.23804829965500246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3.5460992907801421E-2</v>
      </c>
      <c r="AW18" s="945">
        <f>IF(ISNUMBER((Datos!Q18-Datos!R18)/(Datos!S18-Datos!Q18+Datos!R18)),(Datos!Q18-Datos!R18)/(Datos!S18-Datos!Q18+Datos!R18)," - ")</f>
        <v>-0.13540128015755784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55</v>
      </c>
      <c r="G19" s="950">
        <f t="shared" si="4"/>
        <v>55</v>
      </c>
      <c r="H19" s="950">
        <f t="shared" si="4"/>
        <v>0</v>
      </c>
      <c r="I19" s="951">
        <f t="shared" si="4"/>
        <v>0</v>
      </c>
      <c r="J19" s="952">
        <f t="shared" si="4"/>
        <v>0</v>
      </c>
      <c r="K19" s="952">
        <f t="shared" si="4"/>
        <v>0</v>
      </c>
      <c r="L19" s="952">
        <f t="shared" si="4"/>
        <v>0</v>
      </c>
      <c r="M19" s="952">
        <f t="shared" si="4"/>
        <v>0</v>
      </c>
      <c r="N19" s="951">
        <f t="shared" si="4"/>
        <v>246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142</v>
      </c>
      <c r="AE19" s="956">
        <f t="shared" si="5"/>
        <v>0</v>
      </c>
      <c r="AF19" s="957">
        <f t="shared" si="5"/>
        <v>58</v>
      </c>
      <c r="AG19" s="957">
        <f t="shared" si="5"/>
        <v>0</v>
      </c>
      <c r="AH19" s="957">
        <f t="shared" si="5"/>
        <v>5952</v>
      </c>
      <c r="AI19" s="957">
        <f t="shared" si="5"/>
        <v>0</v>
      </c>
      <c r="AJ19" s="958">
        <f t="shared" si="5"/>
        <v>0</v>
      </c>
      <c r="AK19" s="958">
        <f t="shared" si="5"/>
        <v>0</v>
      </c>
      <c r="AL19" s="950">
        <f t="shared" si="5"/>
        <v>366</v>
      </c>
      <c r="AM19" s="950">
        <f t="shared" si="5"/>
        <v>891</v>
      </c>
      <c r="AN19" s="950">
        <f t="shared" si="5"/>
        <v>0</v>
      </c>
      <c r="AO19" s="950">
        <f t="shared" si="5"/>
        <v>0</v>
      </c>
      <c r="AP19" s="950">
        <f>IF(ISNUMBER(((Datos!L19/Datos!K19)*11)/factor_trimestre),((Datos!L19/Datos!K19)*11)/factor_trimestre," - ")</f>
        <v>9.752446183953035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-0.14545454545454545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1.8226200162733928E-2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31.754264805429415</v>
      </c>
      <c r="G21" s="736">
        <f>IF(ISNUMBER(STDEV(G8:G18)),STDEV(G8:G18),"-")</f>
        <v>31.754264805429415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209.58530482836815</v>
      </c>
      <c r="AM21" s="735"/>
      <c r="AN21" s="735">
        <f>IF(ISNUMBER(STDEV(AN8:AN18)),STDEV(AN8:AN18),"-")</f>
        <v>0</v>
      </c>
      <c r="AO21" s="741">
        <f>IF(ISNUMBER(STDEV(AO8:AO18)),STDEV(AO8:AO18),"-")</f>
        <v>0</v>
      </c>
      <c r="AP21" s="778">
        <f>IF(ISNUMBER(STDEV(AP8:AP18)),STDEV(AP8:AP18),"-")</f>
        <v>7.3419686562001072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48OV29/rjhbthkYUYaecB9mNaEG7dys01QyU7XcsoWC7Nz0kZAa7ZpaqUU6mAH1Y3+b/LsWb2UdGI7N5+/GdA==" saltValue="0tdLyzUK35rGAQM/EP1/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COLMENAR VIEJO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N0+VeOOh1+5y1qvqHlBaW4NWewi4F/Ioc0n8ndv8NvP9jVHFr/wjobEgCu+gpJwnlHSEfCB+mFkLEwrtT1Hhg==" saltValue="/KpEfdPDqcc5rMTX+Qv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COLMENAR VIEJO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363</v>
      </c>
      <c r="E12" s="403">
        <f t="shared" si="0"/>
        <v>60.5</v>
      </c>
      <c r="F12" s="402">
        <f>IF(ISNUMBER(Datos!N12),Datos!N12," - ")</f>
        <v>888</v>
      </c>
      <c r="G12" s="403">
        <f t="shared" si="1"/>
        <v>148</v>
      </c>
      <c r="H12" s="402">
        <f>IF(ISNUMBER(Datos!O12),Datos!O12," - ")</f>
        <v>519</v>
      </c>
      <c r="I12" s="403">
        <f t="shared" si="2"/>
        <v>86.5</v>
      </c>
      <c r="BZ12" s="1185">
        <f>Datos!EZ12</f>
        <v>0</v>
      </c>
    </row>
    <row r="13" spans="1:78" ht="14.25" thickTop="1" thickBot="1">
      <c r="A13" s="847" t="str">
        <f>Datos!A13</f>
        <v>TOTAL</v>
      </c>
      <c r="B13" s="848">
        <f>Datos!AP13</f>
        <v>6</v>
      </c>
      <c r="C13" s="850">
        <f>Datos!AR13</f>
        <v>6</v>
      </c>
      <c r="D13" s="848">
        <f>SUBTOTAL(9,D9:D12)</f>
        <v>366</v>
      </c>
      <c r="E13" s="849">
        <f t="shared" si="0"/>
        <v>61</v>
      </c>
      <c r="F13" s="848">
        <f>SUBTOTAL(9,F9:F12)</f>
        <v>891</v>
      </c>
      <c r="G13" s="849">
        <f t="shared" si="1"/>
        <v>148.5</v>
      </c>
      <c r="H13" s="848">
        <f>SUBTOTAL(9,H9:H12)</f>
        <v>519</v>
      </c>
      <c r="I13" s="849">
        <f>IF(ISNUMBER(H13/B13),H13/B13," - ")</f>
        <v>86.5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135</v>
      </c>
      <c r="E16" s="403">
        <f t="shared" si="3"/>
        <v>22.5</v>
      </c>
      <c r="F16" s="402">
        <f>IF(ISNUMBER(Datos!N16),Datos!N16," - ")</f>
        <v>819</v>
      </c>
      <c r="G16" s="403">
        <f t="shared" si="4"/>
        <v>136.5</v>
      </c>
      <c r="H16" s="402">
        <f>IF(ISNUMBER(Datos!O16),Datos!O16," - ")</f>
        <v>9</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26</v>
      </c>
      <c r="E17" s="403">
        <f>IF(ISNUMBER(D17/B17),D17/B17," - ")</f>
        <v>26</v>
      </c>
      <c r="F17" s="402">
        <f>IF(ISNUMBER(Datos!N17),Datos!N17," - ")</f>
        <v>129</v>
      </c>
      <c r="G17" s="403">
        <f>IF(ISNUMBER(F17/B17),F17/B17," - ")</f>
        <v>129</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161</v>
      </c>
      <c r="E18" s="849">
        <f t="shared" si="3"/>
        <v>26.833333333333332</v>
      </c>
      <c r="F18" s="848">
        <f>SUBTOTAL(9,F15:F17)</f>
        <v>948</v>
      </c>
      <c r="G18" s="849">
        <f t="shared" si="4"/>
        <v>158</v>
      </c>
      <c r="H18" s="848">
        <f>SUBTOTAL(9,H15:H17)</f>
        <v>9</v>
      </c>
      <c r="I18" s="849">
        <f>IF(ISNUMBER(H18/B18),H18/B18," - ")</f>
        <v>1.5</v>
      </c>
      <c r="BZ18" s="1185"/>
    </row>
    <row r="19" spans="1:78" ht="14.25" thickTop="1" thickBot="1">
      <c r="A19" s="792" t="str">
        <f>Datos!A19</f>
        <v>TOTAL JURISDICCIONES</v>
      </c>
      <c r="B19" s="793">
        <f>Datos!AP19</f>
        <v>6</v>
      </c>
      <c r="C19" s="793">
        <f>Datos!AR19</f>
        <v>6</v>
      </c>
      <c r="D19" s="793">
        <f>SUBTOTAL(9,D8:D18)</f>
        <v>527</v>
      </c>
      <c r="E19" s="794">
        <f>IF(ISNUMBER(D19/B19),D19/B19," - ")</f>
        <v>87.833333333333329</v>
      </c>
      <c r="F19" s="793">
        <f>SUBTOTAL(9,F8:F18)</f>
        <v>1839</v>
      </c>
      <c r="G19" s="794">
        <f>IF(ISNUMBER(F19/B19),F19/B19," - ")</f>
        <v>306.5</v>
      </c>
      <c r="H19" s="793">
        <f>SUBTOTAL(9,H8:H18)</f>
        <v>528</v>
      </c>
      <c r="I19" s="794">
        <f>IF(ISNUMBER(H19/B19),H19/B19," - ")</f>
        <v>88</v>
      </c>
    </row>
    <row r="22" spans="1:78">
      <c r="A22" s="390" t="str">
        <f>Criterios!A4</f>
        <v>Fecha Informe: 17 mar. 2026</v>
      </c>
    </row>
    <row r="27" spans="1:78">
      <c r="A27" s="413"/>
    </row>
  </sheetData>
  <sheetProtection algorithmName="SHA-512" hashValue="yRQZUxFLswfSX2C0HDlQDgQn1kkIDwBQQwJiP+qB0RrthWszIPPIbH383KzW5f6nTgsudEbq8Sn7QdSRRYFuQw==" saltValue="FKndMFjF/+di4WTNllAO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COLMENAR VIEJO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2</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243</v>
      </c>
      <c r="C12" s="433">
        <f>IF(ISNUMBER(Datos!Q12),Datos!Q12," - ")</f>
        <v>142</v>
      </c>
      <c r="D12" s="407">
        <f>IF(ISNUMBER(Datos!R12),Datos!R12," - ")</f>
        <v>5952</v>
      </c>
    </row>
    <row r="13" spans="1:4" ht="14.25" thickTop="1" thickBot="1">
      <c r="A13" s="847" t="str">
        <f>Datos!A13</f>
        <v>TOTAL</v>
      </c>
      <c r="B13" s="848">
        <f>SUBTOTAL(9,B9:B12)</f>
        <v>246</v>
      </c>
      <c r="C13" s="852">
        <f>SUBTOTAL(9,C9:C12)</f>
        <v>144</v>
      </c>
      <c r="D13" s="850">
        <f>SUBTOTAL(9,D9:D12)</f>
        <v>5965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16</v>
      </c>
      <c r="D16" s="407">
        <f>IF(ISNUMBER(Datos!R16),Datos!R16," - ")</f>
        <v>282</v>
      </c>
    </row>
    <row r="17" spans="1:4" ht="13.5" thickBot="1">
      <c r="A17" s="401" t="str">
        <f>Datos!A17</f>
        <v>Jdos. Violencia contra la mujer/Secc Viol. TI.</v>
      </c>
      <c r="B17" s="432">
        <f>IF(ISNUMBER(Datos!P17),Datos!P17," - ")</f>
        <v>4</v>
      </c>
      <c r="C17" s="433">
        <f>IF(ISNUMBER(Datos!Q17),Datos!Q17," - ")</f>
        <v>1</v>
      </c>
      <c r="D17" s="407">
        <f>IF(ISNUMBER(Datos!R17),Datos!R17," - ")</f>
        <v>10</v>
      </c>
    </row>
    <row r="18" spans="1:4" ht="14.25" thickTop="1" thickBot="1">
      <c r="A18" s="847" t="str">
        <f>Datos!A18</f>
        <v>TOTAL</v>
      </c>
      <c r="B18" s="848">
        <f>SUBTOTAL(9,B15:B17)</f>
        <v>27</v>
      </c>
      <c r="C18" s="852">
        <f>SUBTOTAL(9,C15:C17)</f>
        <v>17</v>
      </c>
      <c r="D18" s="850">
        <f>SUBTOTAL(9,D15:D17)</f>
        <v>292</v>
      </c>
    </row>
    <row r="19" spans="1:4" ht="16.5" customHeight="1" thickTop="1" thickBot="1">
      <c r="A19" s="792" t="str">
        <f>Datos!A19</f>
        <v>TOTAL JURISDICCIONES</v>
      </c>
      <c r="B19" s="797">
        <f>SUBTOTAL(9,B8:B18)</f>
        <v>273</v>
      </c>
      <c r="C19" s="798">
        <f>SUBTOTAL(9,C8:C18)</f>
        <v>161</v>
      </c>
      <c r="D19" s="799">
        <f>SUBTOTAL(9,D8:D18)</f>
        <v>6257</v>
      </c>
    </row>
    <row r="20" spans="1:4" ht="7.5" customHeight="1"/>
    <row r="21" spans="1:4" ht="6" customHeight="1"/>
    <row r="22" spans="1:4">
      <c r="A22" s="390" t="str">
        <f>Criterios!A4</f>
        <v>Fecha Informe: 17 mar. 2026</v>
      </c>
    </row>
    <row r="27" spans="1:4">
      <c r="A27" s="413"/>
    </row>
  </sheetData>
  <sheetProtection algorithmName="SHA-512" hashValue="HwrEnWNQbufBqHPFVmBZZtb9Q3k0XpKqJbLt8kKSwpheGjVDqnLJbyoY6oSqtVdBSXMleAd7rMQ7vPqMbu15pQ==" saltValue="u4R1R1Wz2kv7+lPw533a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COLMENAR VIEJO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-0.140625</v>
      </c>
      <c r="C10" s="455">
        <f>IF(ISNUMBER((Datos!J10-Datos!T10)/Datos!T10),(Datos!J10-Datos!T10)/Datos!T10," - ")</f>
        <v>-0.15384615384615385</v>
      </c>
      <c r="D10" s="455">
        <f>IF(ISNUMBER((Datos!K10-Datos!U10)/Datos!U10),(Datos!K10-Datos!U10)/Datos!U10," - ")</f>
        <v>-0.55555555555555558</v>
      </c>
      <c r="E10" s="455">
        <f>IF(ISNUMBER((Datos!L10-Datos!V10)/Datos!V10),(Datos!L10-Datos!V10)/Datos!V10," - ")</f>
        <v>-1.6949152542372881E-2</v>
      </c>
      <c r="F10" s="455">
        <f>IF(ISNUMBER((Datos!M10-Datos!W10)/Datos!W10),(Datos!M10-Datos!W10)/Datos!W10," - ")</f>
        <v>-0.4</v>
      </c>
      <c r="G10" s="456">
        <f>IF(ISNUMBER((Datos!N10-Datos!X10)/Datos!X10),(Datos!N10-Datos!X10)/Datos!X10," - ")</f>
        <v>-0.7</v>
      </c>
      <c r="H10" s="454">
        <f>IF(ISNUMBER(((NºAsuntos!G10/NºAsuntos!E10)-Datos!BD10)/Datos!BD10),((NºAsuntos!G10/NºAsuntos!E10)-Datos!BD10)/Datos!BD10," - ")</f>
        <v>-0.4747474747474747</v>
      </c>
      <c r="I10" s="455">
        <f>IF(ISNUMBER(((NºAsuntos!I10/NºAsuntos!G10)-Datos!BE10)/Datos!BE10),((NºAsuntos!I10/NºAsuntos!G10)-Datos!BE10)/Datos!BE10," - ")</f>
        <v>1.2118644067796611</v>
      </c>
      <c r="J10" s="460">
        <f>IF(ISNUMBER((('Resol  Asuntos'!D10/NºAsuntos!G10)-Datos!BF10)/Datos!BF10),(('Resol  Asuntos'!D10/NºAsuntos!G10)-Datos!BF10)/Datos!BF10," - ")</f>
        <v>0.34999999999999992</v>
      </c>
      <c r="K10" s="461">
        <f>IF(ISNUMBER((((NºAsuntos!C10+NºAsuntos!E10)/NºAsuntos!G10)-Datos!BG10)/Datos!BG10),(((NºAsuntos!C10+NºAsuntos!E10)/NºAsuntos!G10)-Datos!BG10)/Datos!BG10," - ")</f>
        <v>0.9285714285714286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0.28551358101779584</v>
      </c>
      <c r="C12" s="455">
        <f>IF(ISNUMBER(
   IF(J_V="SI",(Datos!J12-Datos!T12)/Datos!T12,(Datos!J12+Datos!Z12-(Datos!T12+Datos!AH12))/(Datos!T12+Datos!AH12))
     ),IF(J_V="SI",(Datos!J12-Datos!T12)/Datos!T12,(Datos!J12+Datos!Z12-(Datos!T12+Datos!AH12))/(Datos!T12+Datos!AH12))," - ")</f>
        <v>-0.40423317140874393</v>
      </c>
      <c r="D12" s="455">
        <f>IF(ISNUMBER(
   IF(J_V="SI",(Datos!K12-Datos!U12)/Datos!U12,(Datos!K12+Datos!AA12-(Datos!U12+Datos!AI12))/(Datos!U12+Datos!AI12))
     ),IF(J_V="SI",(Datos!K12-Datos!U12)/Datos!U12,(Datos!K12+Datos!AA12-(Datos!U12+Datos!AI12))/(Datos!U12+Datos!AI12))," - ")</f>
        <v>-0.2505280946345585</v>
      </c>
      <c r="E12" s="455">
        <f>IF(ISNUMBER(
   IF(J_V="SI",(Datos!L12-Datos!V12)/Datos!V12,(Datos!L12+Datos!AB12-(Datos!V12+Datos!AJ12))/(Datos!V12+Datos!AJ12))
     ),IF(J_V="SI",(Datos!L12-Datos!V12)/Datos!V12,(Datos!L12+Datos!AB12-(Datos!V12+Datos!AJ12))/(Datos!V12+Datos!AJ12))," - ")</f>
        <v>0.18162115301257042</v>
      </c>
      <c r="F12" s="455">
        <f>IF(ISNUMBER((Datos!M12-Datos!W12)/Datos!W12),(Datos!M12-Datos!W12)/Datos!W12," - ")</f>
        <v>-0.30988593155893535</v>
      </c>
      <c r="G12" s="456">
        <f>IF(ISNUMBER((Datos!N12-Datos!X12)/Datos!X12),(Datos!N12-Datos!X12)/Datos!X12," - ")</f>
        <v>-0.27093596059113301</v>
      </c>
      <c r="H12" s="454">
        <f>IF(ISNUMBER(((NºAsuntos!G12/NºAsuntos!E12)-Datos!BD12)/Datos!BD12),((NºAsuntos!G12/NºAsuntos!E12)-Datos!BD12)/Datos!BD12," - ")</f>
        <v>0.25799535891858039</v>
      </c>
      <c r="I12" s="455">
        <f>IF(ISNUMBER(((NºAsuntos!I12/NºAsuntos!G12)-Datos!BE12)/Datos!BE12),((NºAsuntos!I12/NºAsuntos!G12)-Datos!BE12)/Datos!BE12," - ")</f>
        <v>0.57660499953819289</v>
      </c>
      <c r="J12" s="460">
        <f>IF(ISNUMBER((('Resol  Asuntos'!D12/NºAsuntos!G12)-Datos!BF12)/Datos!BF12),(('Resol  Asuntos'!D12/NºAsuntos!G12)-Datos!BF12)/Datos!BF12," - ")</f>
        <v>-0.60234726009518991</v>
      </c>
      <c r="K12" s="461">
        <f>IF(ISNUMBER((((NºAsuntos!C12+NºAsuntos!E12)/NºAsuntos!G12)-Datos!BG12)/Datos!BG12),(((NºAsuntos!C12+NºAsuntos!E12)/NºAsuntos!G12)-Datos!BG12)/Datos!BG12," - ")</f>
        <v>0.42966012077991311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0.28129829984544047</v>
      </c>
      <c r="C13" s="854">
        <f>IF(ISNUMBER(
   IF(J_V="SI",(Datos!J13-Datos!T13)/Datos!T13,(Datos!J13+Datos!Z13-(Datos!T13+Datos!AH13))/(Datos!T13+Datos!AH13))
     ),IF(J_V="SI",(Datos!J13-Datos!T13)/Datos!T13,(Datos!J13+Datos!Z13-(Datos!T13+Datos!AH13))/(Datos!T13+Datos!AH13))," - ")</f>
        <v>-0.40310880829015544</v>
      </c>
      <c r="D13" s="854">
        <f>IF(ISNUMBER(
   IF(J_V="SI",(Datos!K13-Datos!U13)/Datos!U13,(Datos!K13+Datos!AA13-(Datos!U13+Datos!AI13))/(Datos!U13+Datos!AI13))
     ),IF(J_V="SI",(Datos!K13-Datos!U13)/Datos!U13,(Datos!K13+Datos!AA13-(Datos!U13+Datos!AI13))/(Datos!U13+Datos!AI13))," - ")</f>
        <v>-0.25283018867924528</v>
      </c>
      <c r="E13" s="854">
        <f>IF(ISNUMBER(
   IF(J_V="SI",(Datos!L13-Datos!V13)/Datos!V13,(Datos!L13+Datos!AB13-(Datos!V13+Datos!AJ13))/(Datos!V13+Datos!AJ13))
     ),IF(J_V="SI",(Datos!L13-Datos!V13)/Datos!V13,(Datos!L13+Datos!AB13-(Datos!V13+Datos!AJ13))/(Datos!V13+Datos!AJ13))," - ")</f>
        <v>0.17994269340974212</v>
      </c>
      <c r="F13" s="855">
        <f>IF(ISNUMBER((Datos!M13-Datos!W13)/Datos!W13),(Datos!M13-Datos!W13)/Datos!W13," - ")</f>
        <v>-0.31073446327683618</v>
      </c>
      <c r="G13" s="856">
        <f>IF(ISNUMBER((Datos!N13-Datos!X13)/Datos!X13),(Datos!N13-Datos!X13)/Datos!X13," - ")</f>
        <v>-0.27442996742671011</v>
      </c>
      <c r="H13" s="856">
        <f>IF(ISNUMBER(((NºAsuntos!G13/NºAsuntos!E13)-Datos!BD13)/Datos!BD13),((NºAsuntos!G13/NºAsuntos!E13)-Datos!BD13)/Datos!BD13," - ")</f>
        <v>0.25176886792452824</v>
      </c>
      <c r="I13" s="856">
        <f>IF(ISNUMBER(((NºAsuntos!I13/NºAsuntos!G13)-Datos!BE13)/Datos!BE13),((NºAsuntos!I13/NºAsuntos!G13)-Datos!BE13)/Datos!BE13," - ")</f>
        <v>0.57921623107869513</v>
      </c>
      <c r="J13" s="856">
        <f>IF(ISNUMBER((('Resol  Asuntos'!D13/NºAsuntos!G13)-Datos!BF13)/Datos!BF13),(('Resol  Asuntos'!D13/NºAsuntos!G13)-Datos!BF13)/Datos!BF13," - ")</f>
        <v>-0.5994697589137491</v>
      </c>
      <c r="K13" s="856">
        <f>IF(ISNUMBER((((NºAsuntos!C13+NºAsuntos!E13)/NºAsuntos!G13)-Datos!BG13)/Datos!BG13),(((NºAsuntos!C13+NºAsuntos!E13)/NºAsuntos!G13)-Datos!BG13)/Datos!BG13," - ")</f>
        <v>0.43170627794226291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0.1015161502966381</v>
      </c>
      <c r="C16" s="455">
        <f>IF(ISNUMBER(
   IF(D_I="SI",(Datos!J16-Datos!T16)/Datos!T16,(Datos!J16+Datos!AD16-(Datos!T16+Datos!AL16))/(Datos!T16+Datos!AL16))
     ),IF(D_I="SI",(Datos!J16-Datos!T16)/Datos!T16,(Datos!J16+Datos!AD16-(Datos!T16+Datos!AL16))/(Datos!T16+Datos!AL16))," - ")</f>
        <v>-5.3682037164487266E-2</v>
      </c>
      <c r="D16" s="455">
        <f>IF(ISNUMBER(
   IF(D_I="SI",(Datos!K16-Datos!U16)/Datos!U16,(Datos!K16+Datos!AE16-(Datos!U16+Datos!AM16))/(Datos!U16+Datos!AM16))
     ),IF(D_I="SI",(Datos!K16-Datos!U16)/Datos!U16,(Datos!K16+Datos!AE16-(Datos!U16+Datos!AM16))/(Datos!U16+Datos!AM16))," - ")</f>
        <v>-0.10876954452753229</v>
      </c>
      <c r="E16" s="455">
        <f>IF(ISNUMBER(
   IF(D_I="SI",(Datos!L16-Datos!V16)/Datos!V16,(Datos!L16+Datos!AF16-(Datos!V16+Datos!AN16))/(Datos!V16+Datos!AN16))
     ),IF(D_I="SI",(Datos!L16-Datos!V16)/Datos!V16,(Datos!L16+Datos!AF16-(Datos!V16+Datos!AN16))/(Datos!V16+Datos!AN16))," - ")</f>
        <v>0.14407334643091027</v>
      </c>
      <c r="F16" s="455">
        <f>IF(ISNUMBER((Datos!M16-Datos!W16)/Datos!W16),(Datos!M16-Datos!W16)/Datos!W16," - ")</f>
        <v>-0.38073394495412843</v>
      </c>
      <c r="G16" s="456">
        <f>IF(ISNUMBER((Datos!N16-Datos!X16)/Datos!X16),(Datos!N16-Datos!X16)/Datos!X16," - ")</f>
        <v>3.1486146095717885E-2</v>
      </c>
      <c r="H16" s="454">
        <f>IF(ISNUMBER(((NºAsuntos!G16/NºAsuntos!E16)-Datos!BD16)/Datos!BD16),((NºAsuntos!G16/NºAsuntos!E16)-Datos!BD16)/Datos!BD16," - ")</f>
        <v>-5.8212471417094055E-2</v>
      </c>
      <c r="I16" s="455">
        <f>IF(ISNUMBER(((NºAsuntos!I16/NºAsuntos!G16)-Datos!BE16)/Datos!BE16),((NºAsuntos!I16/NºAsuntos!G16)-Datos!BE16)/Datos!BE16," - ")</f>
        <v>0.28370090968716166</v>
      </c>
      <c r="J16" s="460">
        <f>IF(ISNUMBER((('Resol  Asuntos'!D16/NºAsuntos!G16)-Datos!BF16)/Datos!BF16),(('Resol  Asuntos'!D16/NºAsuntos!G16)-Datos!BF16)/Datos!BF16," - ")</f>
        <v>-0.30515608926584514</v>
      </c>
      <c r="K16" s="461">
        <f>IF(ISNUMBER((((NºAsuntos!C16+NºAsuntos!E16)/NºAsuntos!G16)-Datos!BG16)/Datos!BG16),(((NºAsuntos!C16+NºAsuntos!E16)/NºAsuntos!G16)-Datos!BG16)/Datos!BG16," - ")</f>
        <v>0.15075648424237284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0.19246861924686193</v>
      </c>
      <c r="C17" s="455">
        <f>IF(ISNUMBER(
   IF(D_I="SI",(Datos!J17-Datos!T17)/Datos!T17,(Datos!J17+Datos!AD17-(Datos!T17+Datos!AL17))/(Datos!T17+Datos!AL17))
     ),IF(D_I="SI",(Datos!J17-Datos!T17)/Datos!T17,(Datos!J17+Datos!AD17-(Datos!T17+Datos!AL17))/(Datos!T17+Datos!AL17))," - ")</f>
        <v>0.10160427807486631</v>
      </c>
      <c r="D17" s="455">
        <f>IF(ISNUMBER(
   IF(D_I="SI",(Datos!K17-Datos!U17)/Datos!U17,(Datos!K17+Datos!AE17-(Datos!U17+Datos!AM17))/(Datos!U17+Datos!AM17))
     ),IF(D_I="SI",(Datos!K17-Datos!U17)/Datos!U17,(Datos!K17+Datos!AE17-(Datos!U17+Datos!AM17))/(Datos!U17+Datos!AM17))," - ")</f>
        <v>-1.4150943396226415E-2</v>
      </c>
      <c r="E17" s="455">
        <f>IF(ISNUMBER(
   IF(D_I="SI",(Datos!L17-Datos!V17)/Datos!V17,(Datos!L17+Datos!AF17-(Datos!V17+Datos!AN17))/(Datos!V17+Datos!AN17))
     ),IF(D_I="SI",(Datos!L17-Datos!V17)/Datos!V17,(Datos!L17+Datos!AF17-(Datos!V17+Datos!AN17))/(Datos!V17+Datos!AN17))," - ")</f>
        <v>0.31775700934579437</v>
      </c>
      <c r="F17" s="455">
        <f>IF(ISNUMBER((Datos!M17-Datos!W17)/Datos!W17),(Datos!M17-Datos!W17)/Datos!W17," - ")</f>
        <v>0.8571428571428571</v>
      </c>
      <c r="G17" s="456">
        <f>IF(ISNUMBER((Datos!N17-Datos!X17)/Datos!X17),(Datos!N17-Datos!X17)/Datos!X17," - ")</f>
        <v>0.34375</v>
      </c>
      <c r="H17" s="454">
        <f>IF(ISNUMBER(((NºAsuntos!G17/NºAsuntos!E17)-Datos!BD17)/Datos!BD17),((NºAsuntos!G17/NºAsuntos!E17)-Datos!BD17)/Datos!BD17," - ")</f>
        <v>-0.10507876900531241</v>
      </c>
      <c r="I17" s="455">
        <f>IF(ISNUMBER(((NºAsuntos!I17/NºAsuntos!G17)-Datos!BE17)/Datos!BE17),((NºAsuntos!I17/NºAsuntos!G17)-Datos!BE17)/Datos!BE17," - ")</f>
        <v>0.33667218172874819</v>
      </c>
      <c r="J17" s="460">
        <f>IF(ISNUMBER((('Resol  Asuntos'!D17/NºAsuntos!G17)-Datos!BF17)/Datos!BF17),(('Resol  Asuntos'!D17/NºAsuntos!G17)-Datos!BF17)/Datos!BF17," - ")</f>
        <v>0.88380041011619959</v>
      </c>
      <c r="K17" s="461">
        <f>IF(ISNUMBER((((NºAsuntos!C17+NºAsuntos!E17)/NºAsuntos!G17)-Datos!BG17)/Datos!BG17),(((NºAsuntos!C17+NºAsuntos!E17)/NºAsuntos!G17)-Datos!BG17)/Datos!BG17," - ")</f>
        <v>0.16912640115012245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0.11389521640091116</v>
      </c>
      <c r="C18" s="854">
        <f>IF(ISNUMBER(
   IF(Criterios!B14="SI",(Datos!J18-Datos!T18)/Datos!T18,(Datos!J18+Datos!AD18-(Datos!T18+Datos!AL18))/(Datos!T18+Datos!AL18))
     ),IF(Criterios!B14="SI",(Datos!J18-Datos!T18)/Datos!T18,(Datos!J18+Datos!AD18-(Datos!T18+Datos!AL18))/(Datos!T18+Datos!AL18))," - ")</f>
        <v>-3.5975609756097558E-2</v>
      </c>
      <c r="D18" s="854">
        <f>IF(ISNUMBER(
   IF(Criterios!B14="SI",(Datos!K18-Datos!U18)/Datos!U18,(Datos!K18+Datos!AE18-(Datos!U18+Datos!AM18))/(Datos!U18+Datos!AM18))
     ),IF(Criterios!B14="SI",(Datos!K18-Datos!U18)/Datos!U18,(Datos!K18+Datos!AE18-(Datos!U18+Datos!AM18))/(Datos!U18+Datos!AM18))," - ")</f>
        <v>-9.6850861556743911E-2</v>
      </c>
      <c r="E18" s="854">
        <f>IF(ISNUMBER(
   IF(Criterios!B14="SI",(Datos!L18-Datos!V18)/Datos!V18,(Datos!L18+Datos!AF18-(Datos!V18+Datos!AN18))/(Datos!V18+Datos!AN18))
     ),IF(Criterios!B14="SI",(Datos!L18-Datos!V18)/Datos!V18,(Datos!L18+Datos!AF18-(Datos!V18+Datos!AN18))/(Datos!V18+Datos!AN18))," - ")</f>
        <v>0.16542217116599656</v>
      </c>
      <c r="F18" s="855">
        <f>IF(ISNUMBER((Datos!M18-Datos!W18)/Datos!W18),(Datos!M18-Datos!W18)/Datos!W18," - ")</f>
        <v>-0.30603448275862066</v>
      </c>
      <c r="G18" s="856">
        <f>IF(ISNUMBER((Datos!N18-Datos!X18)/Datos!X18),(Datos!N18-Datos!X18)/Datos!X18," - ")</f>
        <v>6.5168539325842698E-2</v>
      </c>
      <c r="H18" s="856">
        <f>IF(ISNUMBER(((NºAsuntos!G18/NºAsuntos!E18)-Datos!BD18)/Datos!BD18),((NºAsuntos!G18/NºAsuntos!E18)-Datos!BD18)/Datos!BD18," - ")</f>
        <v>-6.3147003765376269E-2</v>
      </c>
      <c r="I18" s="856">
        <f>IF(ISNUMBER(((NºAsuntos!I18/NºAsuntos!G18)-Datos!BE18)/Datos!BE18),((NºAsuntos!I18/NºAsuntos!G18)-Datos!BE18)/Datos!BE18," - ")</f>
        <v>0.29039836452129747</v>
      </c>
      <c r="J18" s="856">
        <f>IF(ISNUMBER((('Resol  Asuntos'!D18/NºAsuntos!G18)-Datos!BF18)/Datos!BF18),(('Resol  Asuntos'!D18/NºAsuntos!G18)-Datos!BF18)/Datos!BF18," - ")</f>
        <v>-0.23161581215970958</v>
      </c>
      <c r="K18" s="856">
        <f>IF(ISNUMBER((((NºAsuntos!C18+NºAsuntos!E18)/NºAsuntos!G18)-Datos!BG18)/Datos!BG18),(((NºAsuntos!C18+NºAsuntos!E18)/NºAsuntos!G18)-Datos!BG18)/Datos!BG18," - ")</f>
        <v>0.15320868978984545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0.24556284950158036</v>
      </c>
      <c r="C19" s="801">
        <f>IF(ISNUMBER(
   IF(J_V="SI",(Datos!J19-Datos!T19)/Datos!T19,(Datos!J19+Datos!Z19-(Datos!T19+Datos!AH19))/(Datos!T19+Datos!AH19))
     ),IF(J_V="SI",(Datos!J19-Datos!T19)/Datos!T19,(Datos!J19+Datos!Z19-(Datos!T19+Datos!AH19))/(Datos!T19+Datos!AH19))," - ")</f>
        <v>-0.27034178610804849</v>
      </c>
      <c r="D19" s="801">
        <f>IF(ISNUMBER(
   IF(J_V="SI",(Datos!K19-Datos!U19)/Datos!U19,(Datos!K19+Datos!AA19-(Datos!U19+Datos!AI19))/(Datos!U19+Datos!AI19))
     ),IF(J_V="SI",(Datos!K19-Datos!U19)/Datos!U19,(Datos!K19+Datos!AA19-(Datos!U19+Datos!AI19))/(Datos!U19+Datos!AI19))," - ")</f>
        <v>-0.18829891838741397</v>
      </c>
      <c r="E19" s="801">
        <f>IF(ISNUMBER(
   IF(J_V="SI",(Datos!L19-Datos!V19)/Datos!V19,(Datos!L19+Datos!AB19-(Datos!V19+Datos!AJ19))/(Datos!V19+Datos!AJ19))
     ),IF(J_V="SI",(Datos!L19-Datos!V19)/Datos!V19,(Datos!L19+Datos!AB19-(Datos!V19+Datos!AJ19))/(Datos!V19+Datos!AJ19))," - ")</f>
        <v>0.17704391698199748</v>
      </c>
      <c r="F19" s="802">
        <f>IF(ISNUMBER((Datos!M19-Datos!W19)/Datos!W19),(Datos!M19-Datos!W19)/Datos!W19," - ")</f>
        <v>-0.30930537352555704</v>
      </c>
      <c r="G19" s="803">
        <f>IF(ISNUMBER((Datos!N19-Datos!X19)/Datos!X19),(Datos!N19-Datos!X19)/Datos!X19," - ")</f>
        <v>-0.13172804532577903</v>
      </c>
      <c r="H19" s="804">
        <f>IF(ISNUMBER((Tasas!B19-Datos!BD19)/Datos!BD19),(Tasas!B19-Datos!BD19)/Datos!BD19," - ")</f>
        <v>0.11244013451588926</v>
      </c>
      <c r="I19" s="805">
        <f>IF(ISNUMBER((Tasas!C19-Datos!BE19)/Datos!BE19),(Tasas!C19-Datos!BE19)/Datos!BE19," - ")</f>
        <v>0.45009529202991094</v>
      </c>
      <c r="J19" s="806">
        <f>IF(ISNUMBER((Tasas!D19-Datos!BF19)/Datos!BF19),(Tasas!D19-Datos!BF19)/Datos!BF19," - ")</f>
        <v>-0.55377746695223762</v>
      </c>
      <c r="K19" s="806">
        <f>IF(ISNUMBER((Tasas!E19-Datos!BG19)/Datos!BG19),(Tasas!E19-Datos!BG19)/Datos!BG19," - ")</f>
        <v>0.30863547326848711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ccODE0YnP8TcCLcHbeGfluONP5wQchLThSMWduIVQz4n+A0VKjm41uSh4Flz7/zA/GLw7nGWSezfPk+m3W9bA==" saltValue="f7urjZ78ywkEIcK2e5pg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COLMENAR VIEJO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0.72727272727272729</v>
      </c>
      <c r="C10" s="442">
        <f>IF(ISNUMBER(NºAsuntos!I10/NºAsuntos!G10),NºAsuntos!I10/NºAsuntos!G10," - ")</f>
        <v>7.25</v>
      </c>
      <c r="D10" s="443">
        <f>IF(ISNUMBER('Resol  Asuntos'!D10/NºAsuntos!G10),'Resol  Asuntos'!D10/NºAsuntos!G10," - ")</f>
        <v>0.375</v>
      </c>
      <c r="E10" s="444">
        <f>IF(ISNUMBER((NºAsuntos!C10+NºAsuntos!E10)/NºAsuntos!G10),(NºAsuntos!C10+NºAsuntos!E10)/NºAsuntos!G10," - ")</f>
        <v>8.25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1.0331974373907979</v>
      </c>
      <c r="C12" s="442">
        <f>IF(ISNUMBER(NºAsuntos!I12/NºAsuntos!G12),NºAsuntos!I12/NºAsuntos!G12," - ")</f>
        <v>4.6099210822998868</v>
      </c>
      <c r="D12" s="443">
        <f>IF(ISNUMBER('Resol  Asuntos'!D12/NºAsuntos!G12),'Resol  Asuntos'!D12/NºAsuntos!G12," - ")</f>
        <v>0.20462232243517475</v>
      </c>
      <c r="E12" s="444">
        <f>IF(ISNUMBER((NºAsuntos!C12+NºAsuntos!E12)/NºAsuntos!G12),(NºAsuntos!C12+NºAsuntos!E12)/NºAsuntos!G12," - ")</f>
        <v>5.6099210822998868</v>
      </c>
      <c r="G12" s="462"/>
    </row>
    <row r="13" spans="1:7" ht="14.25" thickTop="1" thickBot="1">
      <c r="A13" s="847" t="str">
        <f>Datos!A13</f>
        <v>TOTAL</v>
      </c>
      <c r="B13" s="857">
        <f>IF(ISNUMBER(NºAsuntos!G13/NºAsuntos!E13),NºAsuntos!G13/NºAsuntos!E13," - ")</f>
        <v>1.03125</v>
      </c>
      <c r="C13" s="858">
        <f>IF(ISNUMBER(NºAsuntos!I13/NºAsuntos!G13),NºAsuntos!I13/NºAsuntos!G13," - ")</f>
        <v>4.6217732884399547</v>
      </c>
      <c r="D13" s="859">
        <f>IF(ISNUMBER('Resol  Asuntos'!D13/NºAsuntos!G13),'Resol  Asuntos'!D13/NºAsuntos!G13," - ")</f>
        <v>0.2053872053872054</v>
      </c>
      <c r="E13" s="860">
        <f>IF(ISNUMBER((NºAsuntos!C13+NºAsuntos!E13)/NºAsuntos!G13),(NºAsuntos!C13+NºAsuntos!E13)/NºAsuntos!G13," - ")</f>
        <v>5.6217732884399547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0.95345454545454544</v>
      </c>
      <c r="C16" s="442">
        <f>IF(ISNUMBER(NºAsuntos!I16/NºAsuntos!G16),NºAsuntos!I16/NºAsuntos!G16," - ")</f>
        <v>1.3325705568268498</v>
      </c>
      <c r="D16" s="443">
        <f>IF(ISNUMBER('Resol  Asuntos'!D16/NºAsuntos!G16),'Resol  Asuntos'!D16/NºAsuntos!G16," - ")</f>
        <v>0.10297482837528604</v>
      </c>
      <c r="E16" s="444">
        <f>IF(ISNUMBER((NºAsuntos!C16+NºAsuntos!E16)/NºAsuntos!G16),(NºAsuntos!C16+NºAsuntos!E16)/NºAsuntos!G16," - ")</f>
        <v>2.3234172387490464</v>
      </c>
      <c r="G16" s="462"/>
    </row>
    <row r="17" spans="1:7" ht="21.75" thickBot="1">
      <c r="A17" s="401" t="str">
        <f>Datos!A17</f>
        <v>Jdos. Violencia contra la mujer/Secc Viol. TI.</v>
      </c>
      <c r="B17" s="441">
        <f>IF(ISNUMBER(NºAsuntos!G17/NºAsuntos!E17),NºAsuntos!G17/NºAsuntos!E17," - ")</f>
        <v>1.0145631067961165</v>
      </c>
      <c r="C17" s="442">
        <f>IF(ISNUMBER(NºAsuntos!I17/NºAsuntos!G17),NºAsuntos!I17/NºAsuntos!G17," - ")</f>
        <v>1.3492822966507176</v>
      </c>
      <c r="D17" s="443">
        <f>IF(ISNUMBER('Resol  Asuntos'!D17/NºAsuntos!G17),'Resol  Asuntos'!D17/NºAsuntos!G17," - ")</f>
        <v>0.12440191387559808</v>
      </c>
      <c r="E17" s="444">
        <f>IF(ISNUMBER((NºAsuntos!C17+NºAsuntos!E17)/NºAsuntos!G17),(NºAsuntos!C17+NºAsuntos!E17)/NºAsuntos!G17," - ")</f>
        <v>2.3492822966507179</v>
      </c>
      <c r="G17" s="462"/>
    </row>
    <row r="18" spans="1:7" ht="14.25" thickTop="1" thickBot="1">
      <c r="A18" s="847" t="str">
        <f>Datos!A18</f>
        <v>TOTAL</v>
      </c>
      <c r="B18" s="857">
        <f>IF(ISNUMBER(NºAsuntos!G18/NºAsuntos!E18),NºAsuntos!G18/NºAsuntos!E18," - ")</f>
        <v>0.96141682479443391</v>
      </c>
      <c r="C18" s="858">
        <f>IF(ISNUMBER(NºAsuntos!I18/NºAsuntos!G18),NºAsuntos!I18/NºAsuntos!G18," - ")</f>
        <v>1.3348684210526316</v>
      </c>
      <c r="D18" s="861">
        <f>IF(ISNUMBER('Resol  Asuntos'!D18/NºAsuntos!G18),'Resol  Asuntos'!D18/NºAsuntos!G18," - ")</f>
        <v>0.10592105263157894</v>
      </c>
      <c r="E18" s="860">
        <f>IF(ISNUMBER((NºAsuntos!C18+NºAsuntos!E18)/NºAsuntos!G18),(NºAsuntos!C18+NºAsuntos!E18)/NºAsuntos!G18," - ")</f>
        <v>2.3269736842105262</v>
      </c>
      <c r="G18" s="462"/>
    </row>
    <row r="19" spans="1:7" ht="15.75" customHeight="1" thickTop="1" thickBot="1">
      <c r="A19" s="792" t="str">
        <f>Datos!A19</f>
        <v>TOTAL JURISDICCIONES</v>
      </c>
      <c r="B19" s="807">
        <f>IF(ISNUMBER(NºAsuntos!G19/NºAsuntos!E19),NºAsuntos!G19/NºAsuntos!E19," - ")</f>
        <v>0.9978845572680568</v>
      </c>
      <c r="C19" s="808">
        <f>IF(ISNUMBER(NºAsuntos!I19/NºAsuntos!G19),NºAsuntos!I19/NºAsuntos!G19," - ")</f>
        <v>3.1087219866747424</v>
      </c>
      <c r="D19" s="809">
        <f>IF(ISNUMBER('Resol  Asuntos'!D19/NºAsuntos!G19),'Resol  Asuntos'!D19/NºAsuntos!G19," - ")</f>
        <v>0.15960024227740763</v>
      </c>
      <c r="E19" s="810">
        <f>IF(ISNUMBER((NºAsuntos!C19+NºAsuntos!E19)/NºAsuntos!G19),(NºAsuntos!C19+NºAsuntos!E19)/NºAsuntos!G19," - ")</f>
        <v>4.1050878255602665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ZPgjQNla8FuyqO8paBp4KaBDIRuvts53NZcLn3C+EdrmANlAv489NdGxf36edU9aiLT/GyJwvESUNn2EOaRA==" saltValue="3YHQpmjHKmRYD6fNmhPr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COLMENAR VIEJO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55</v>
      </c>
      <c r="G10" s="332">
        <f>IF(ISNUMBER(Datos!I10),Datos!I10," - ")</f>
        <v>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58</v>
      </c>
      <c r="AB10" s="333">
        <f>IF(ISNUMBER(Datos!R10),Datos!R10," - ")</f>
        <v>13</v>
      </c>
      <c r="AC10" s="333">
        <f t="shared" ref="AC10:AC12" si="1">IF(ISNUMBER(AA10+AB10),AA10+AB10," - ")</f>
        <v>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21.75</v>
      </c>
      <c r="AN10" s="243">
        <f>IF(ISNUMBER('Resol  Asuntos'!D10/NºAsuntos!G10),'Resol  Asuntos'!D10/NºAsuntos!G10," - ")</f>
        <v>0.375</v>
      </c>
      <c r="AO10" s="244">
        <f>IF(ISNUMBER((NºAsuntos!C10+NºAsuntos!E10)/NºAsuntos!G10),(NºAsuntos!C10+NºAsuntos!E10)/NºAsuntos!G10," - ")</f>
        <v>8.25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142</v>
      </c>
      <c r="Y12" s="333">
        <f t="shared" si="0"/>
        <v>142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363</v>
      </c>
      <c r="AJ12" s="228" t="str">
        <f>IF(ISNUMBER(Datos!BW12),Datos!BW12," - ")</f>
        <v xml:space="preserve"> - </v>
      </c>
      <c r="AK12" s="227" t="str">
        <f>IF(ISNUMBER(Datos!BX12),Datos!BX12," - ")</f>
        <v xml:space="preserve"> - </v>
      </c>
      <c r="AL12" s="242">
        <f>IF(ISNUMBER(NºAsuntos!G12/NºAsuntos!E12),NºAsuntos!G12/NºAsuntos!E12," - ")</f>
        <v>1.0331974373907979</v>
      </c>
      <c r="AM12" s="259">
        <f>IF(ISNUMBER(((NºAsuntos!I12/NºAsuntos!G12)*11)/factor_trimestre),((NºAsuntos!I12/NºAsuntos!G12)*11)/factor_trimestre," - ")</f>
        <v>13.829763246899661</v>
      </c>
      <c r="AN12" s="243">
        <f>IF(ISNUMBER('Resol  Asuntos'!D12/NºAsuntos!G12),'Resol  Asuntos'!D12/NºAsuntos!G12," - ")</f>
        <v>0.20462232243517475</v>
      </c>
      <c r="AO12" s="244">
        <f>IF(ISNUMBER((NºAsuntos!C12+NºAsuntos!E12)/NºAsuntos!G12),(NºAsuntos!C12+NºAsuntos!E12)/NºAsuntos!G12," - ")</f>
        <v>5.6099210822998868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55</v>
      </c>
      <c r="G13" s="865">
        <f t="shared" si="3"/>
        <v>55</v>
      </c>
      <c r="H13" s="864">
        <f t="shared" si="3"/>
        <v>0</v>
      </c>
      <c r="I13" s="866">
        <f t="shared" si="3"/>
        <v>0</v>
      </c>
      <c r="J13" s="866">
        <f t="shared" si="3"/>
        <v>0</v>
      </c>
      <c r="K13" s="866">
        <f t="shared" si="3"/>
        <v>0</v>
      </c>
      <c r="L13" s="866">
        <f t="shared" si="3"/>
        <v>246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144</v>
      </c>
      <c r="Y13" s="867">
        <f t="shared" si="4"/>
        <v>152</v>
      </c>
      <c r="Z13" s="867">
        <f t="shared" si="4"/>
        <v>0</v>
      </c>
      <c r="AA13" s="867">
        <f t="shared" si="4"/>
        <v>58</v>
      </c>
      <c r="AB13" s="867">
        <f t="shared" si="4"/>
        <v>5965</v>
      </c>
      <c r="AC13" s="867">
        <f t="shared" si="4"/>
        <v>71</v>
      </c>
      <c r="AD13" s="867">
        <f t="shared" si="4"/>
        <v>0</v>
      </c>
      <c r="AE13" s="871">
        <f t="shared" si="4"/>
        <v>0</v>
      </c>
      <c r="AF13" s="864">
        <f t="shared" si="4"/>
        <v>0</v>
      </c>
      <c r="AG13" s="872">
        <f t="shared" si="4"/>
        <v>0</v>
      </c>
      <c r="AH13" s="869">
        <f t="shared" si="4"/>
        <v>0</v>
      </c>
      <c r="AI13" s="864">
        <f t="shared" si="4"/>
        <v>366</v>
      </c>
      <c r="AJ13" s="866">
        <f t="shared" si="4"/>
        <v>0</v>
      </c>
      <c r="AK13" s="869">
        <f>SUBTOTAL(9,AK9:AK12)</f>
        <v>0</v>
      </c>
      <c r="AL13" s="873">
        <f>IF(ISNUMBER(NºAsuntos!G13/NºAsuntos!E13),NºAsuntos!G13/NºAsuntos!E13," - ")</f>
        <v>1.03125</v>
      </c>
      <c r="AM13" s="873">
        <f>IF(ISNUMBER(((NºAsuntos!I13/NºAsuntos!G13)*11)/factor_trimestre),((NºAsuntos!I13/NºAsuntos!G13)*11)/factor_trimestre," - ")</f>
        <v>13.865319865319863</v>
      </c>
      <c r="AN13" s="874">
        <f>IF(ISNUMBER('Resol  Asuntos'!D13/NºAsuntos!G13),'Resol  Asuntos'!D13/NºAsuntos!G13," - ")</f>
        <v>0.2053872053872054</v>
      </c>
      <c r="AO13" s="875">
        <f>IF(ISNUMBER((NºAsuntos!C13+NºAsuntos!E13)/NºAsuntos!G13),(NºAsuntos!C13+NºAsuntos!E13)/NºAsuntos!G13," - ")</f>
        <v>5.6217732884399547</v>
      </c>
      <c r="AP13" s="876" t="str">
        <f t="shared" si="2"/>
        <v xml:space="preserve"> - </v>
      </c>
      <c r="AQ13" s="876">
        <f>IF(ISNUMBER((H13-W13+K13)/(F13)),(H13-W13+K13)/(F13)," - ")</f>
        <v>-0.14545454545454545</v>
      </c>
      <c r="AR13" s="877">
        <f>IF(ISNUMBER((Datos!P13-Datos!Q13)/(Datos!R13-Datos!P13+Datos!Q13)),(Datos!P13-Datos!Q13)/(Datos!R13-Datos!P13+Datos!Q13)," - ")</f>
        <v>1.7397236909432033E-2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1683</v>
      </c>
      <c r="G16" s="332">
        <f>IF(ISNUMBER(IF(D_I="SI",Datos!I16,Datos!I16+Datos!AC16)),IF(D_I="SI",Datos!I16,Datos!I16+Datos!AC16)," - ")</f>
        <v>1671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1311</v>
      </c>
      <c r="X16" s="225">
        <f>IF(ISNUMBER(Datos!Q16),Datos!Q16," - ")</f>
        <v>16</v>
      </c>
      <c r="Y16" s="333">
        <f t="shared" ref="Y16:Y17" si="7">SUM(W16:X16)</f>
        <v>1327</v>
      </c>
      <c r="Z16" s="334" t="str">
        <f>IF(ISNUMBER(Datos!CC16),Datos!CC16," - ")</f>
        <v xml:space="preserve"> - </v>
      </c>
      <c r="AA16" s="331">
        <f>IF(ISNUMBER(IF(D_I="SI",Datos!L16,Datos!L16+Datos!AF16)),IF(D_I="SI",Datos!L16,Datos!L16+Datos!AF16)," - ")</f>
        <v>1747</v>
      </c>
      <c r="AB16" s="333">
        <f>IF(ISNUMBER(Datos!R16),Datos!R16," - ")</f>
        <v>282</v>
      </c>
      <c r="AC16" s="333">
        <f t="shared" si="6"/>
        <v>2029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135</v>
      </c>
      <c r="AJ16" s="230" t="str">
        <f>IF(ISNUMBER(Datos!BW16),Datos!BW16," - ")</f>
        <v xml:space="preserve"> - </v>
      </c>
      <c r="AK16" s="231" t="str">
        <f>IF(ISNUMBER(Datos!BX16),Datos!BX16," - ")</f>
        <v xml:space="preserve"> - </v>
      </c>
      <c r="AL16" s="242">
        <f>IF(ISNUMBER(NºAsuntos!G16/NºAsuntos!E16),NºAsuntos!G16/NºAsuntos!E16," - ")</f>
        <v>0.95345454545454544</v>
      </c>
      <c r="AM16" s="259">
        <f>IF(ISNUMBER(((NºAsuntos!I16/NºAsuntos!G16)*11)/factor_trimestre),((NºAsuntos!I16/NºAsuntos!G16)*11)/factor_trimestre," - ")</f>
        <v>3.9977116704805495</v>
      </c>
      <c r="AN16" s="243">
        <f>IF(ISNUMBER('Resol  Asuntos'!D16/NºAsuntos!G16),'Resol  Asuntos'!D16/NºAsuntos!G16," - ")</f>
        <v>0.10297482837528604</v>
      </c>
      <c r="AO16" s="244">
        <f>IF(ISNUMBER((NºAsuntos!C16+NºAsuntos!E16)/NºAsuntos!G16),(NºAsuntos!C16+NºAsuntos!E16)/NºAsuntos!G16," - ")</f>
        <v>2.3234172387490464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209</v>
      </c>
      <c r="X17" s="225">
        <f>IF(ISNUMBER(Datos!Q17),Datos!Q17," - ")</f>
        <v>1</v>
      </c>
      <c r="Y17" s="333">
        <f t="shared" si="7"/>
        <v>210</v>
      </c>
      <c r="Z17" s="334" t="str">
        <f>IF(ISNUMBER(Datos!CC17),Datos!CC17," - ")</f>
        <v xml:space="preserve"> - </v>
      </c>
      <c r="AA17" s="331">
        <f>IF(ISNUMBER(Datos!L17),Datos!L17,"-")</f>
        <v>282</v>
      </c>
      <c r="AB17" s="333">
        <f>IF(ISNUMBER(Datos!R17),Datos!R17," - ")</f>
        <v>10</v>
      </c>
      <c r="AC17" s="333">
        <f t="shared" si="6"/>
        <v>292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26</v>
      </c>
      <c r="AJ17" s="230" t="str">
        <f>IF(ISNUMBER(Datos!BW17),Datos!BW17," - ")</f>
        <v xml:space="preserve"> - </v>
      </c>
      <c r="AK17" s="231" t="str">
        <f>IF(ISNUMBER(Datos!BX17),Datos!BX17," - ")</f>
        <v xml:space="preserve"> - </v>
      </c>
      <c r="AL17" s="242">
        <f>IF(ISNUMBER(NºAsuntos!G17/NºAsuntos!E17),NºAsuntos!G17/NºAsuntos!E17," - ")</f>
        <v>1.0145631067961165</v>
      </c>
      <c r="AM17" s="259">
        <f>IF(ISNUMBER(((NºAsuntos!I17/NºAsuntos!G17)*11)/factor_trimestre),((NºAsuntos!I17/NºAsuntos!G17)*11)/factor_trimestre," - ")</f>
        <v>4.0478468899521527</v>
      </c>
      <c r="AN17" s="243">
        <f>IF(ISNUMBER('Resol  Asuntos'!D17/NºAsuntos!G17),'Resol  Asuntos'!D17/NºAsuntos!G17," - ")</f>
        <v>0.12440191387559808</v>
      </c>
      <c r="AO17" s="244">
        <f>IF(ISNUMBER((NºAsuntos!C17+NºAsuntos!E17)/NºAsuntos!G17),(NºAsuntos!C17+NºAsuntos!E17)/NºAsuntos!G17," - ")</f>
        <v>2.3492822966507179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1683</v>
      </c>
      <c r="G18" s="865">
        <f>SUBTOTAL(9,G15:G17)</f>
        <v>1956</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1520</v>
      </c>
      <c r="X18" s="866">
        <f t="shared" si="11"/>
        <v>17</v>
      </c>
      <c r="Y18" s="867">
        <f t="shared" si="11"/>
        <v>1537</v>
      </c>
      <c r="Z18" s="867">
        <f t="shared" si="11"/>
        <v>0</v>
      </c>
      <c r="AA18" s="867">
        <f t="shared" si="11"/>
        <v>2029</v>
      </c>
      <c r="AB18" s="867">
        <f t="shared" si="11"/>
        <v>292</v>
      </c>
      <c r="AC18" s="867">
        <f t="shared" si="11"/>
        <v>2321</v>
      </c>
      <c r="AD18" s="867">
        <f t="shared" si="11"/>
        <v>0</v>
      </c>
      <c r="AE18" s="871">
        <f t="shared" si="11"/>
        <v>0</v>
      </c>
      <c r="AF18" s="864">
        <f t="shared" si="11"/>
        <v>0</v>
      </c>
      <c r="AG18" s="872">
        <f t="shared" si="11"/>
        <v>0</v>
      </c>
      <c r="AH18" s="869">
        <f t="shared" si="11"/>
        <v>0</v>
      </c>
      <c r="AI18" s="864">
        <f t="shared" si="11"/>
        <v>161</v>
      </c>
      <c r="AJ18" s="866">
        <f t="shared" si="11"/>
        <v>0</v>
      </c>
      <c r="AK18" s="869">
        <f t="shared" si="11"/>
        <v>0</v>
      </c>
      <c r="AL18" s="873">
        <f>IF(ISNUMBER(NºAsuntos!G18/NºAsuntos!E18),NºAsuntos!G18/NºAsuntos!E18," - ")</f>
        <v>0.96141682479443391</v>
      </c>
      <c r="AM18" s="873">
        <f>IF(ISNUMBER(((NºAsuntos!I18/NºAsuntos!G18)*11)/factor_trimestre),((NºAsuntos!I18/NºAsuntos!G18)*11)/factor_trimestre," - ")</f>
        <v>4.0046052631578952</v>
      </c>
      <c r="AN18" s="874">
        <f>IF(ISNUMBER('Resol  Asuntos'!D18/NºAsuntos!G18),'Resol  Asuntos'!D18/NºAsuntos!G18," - ")</f>
        <v>0.10592105263157894</v>
      </c>
      <c r="AO18" s="875">
        <f>IF(ISNUMBER((NºAsuntos!C18+NºAsuntos!E18)/NºAsuntos!G18),(NºAsuntos!C18+NºAsuntos!E18)/NºAsuntos!G18," - ")</f>
        <v>2.3269736842105262</v>
      </c>
      <c r="AP18" s="876" t="str">
        <f t="shared" si="2"/>
        <v xml:space="preserve"> - </v>
      </c>
      <c r="AQ18" s="876">
        <f>IF(ISNUMBER((H18-W18+K18)/(F18)),(H18-W18+K18)/(F18)," - ")</f>
        <v>-0.90314913844325606</v>
      </c>
      <c r="AR18" s="877">
        <f>IF(ISNUMBER((Datos!P18-Datos!Q18)/(Datos!R18-Datos!P18+Datos!Q18)),(Datos!P18-Datos!Q18)/(Datos!R18-Datos!P18+Datos!Q18)," - ")</f>
        <v>3.5460992907801421E-2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1738</v>
      </c>
      <c r="G19" s="820">
        <f t="shared" si="13"/>
        <v>2011</v>
      </c>
      <c r="H19" s="819">
        <f t="shared" si="13"/>
        <v>0</v>
      </c>
      <c r="I19" s="821">
        <f t="shared" si="13"/>
        <v>0</v>
      </c>
      <c r="J19" s="821">
        <f t="shared" si="13"/>
        <v>0</v>
      </c>
      <c r="K19" s="880">
        <f t="shared" si="13"/>
        <v>0</v>
      </c>
      <c r="L19" s="821">
        <f t="shared" si="13"/>
        <v>273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1528</v>
      </c>
      <c r="X19" s="820">
        <f t="shared" si="14"/>
        <v>161</v>
      </c>
      <c r="Y19" s="827">
        <f t="shared" si="14"/>
        <v>1689</v>
      </c>
      <c r="Z19" s="827">
        <f t="shared" si="14"/>
        <v>0</v>
      </c>
      <c r="AA19" s="827">
        <f t="shared" si="14"/>
        <v>2087</v>
      </c>
      <c r="AB19" s="827">
        <f t="shared" si="14"/>
        <v>6257</v>
      </c>
      <c r="AC19" s="827">
        <f t="shared" si="14"/>
        <v>2392</v>
      </c>
      <c r="AD19" s="827">
        <f t="shared" si="14"/>
        <v>0</v>
      </c>
      <c r="AE19" s="829">
        <f t="shared" si="14"/>
        <v>0</v>
      </c>
      <c r="AF19" s="830">
        <f t="shared" si="14"/>
        <v>0</v>
      </c>
      <c r="AG19" s="831">
        <f t="shared" si="14"/>
        <v>0</v>
      </c>
      <c r="AH19" s="829">
        <f t="shared" si="14"/>
        <v>0</v>
      </c>
      <c r="AI19" s="819">
        <f t="shared" si="14"/>
        <v>527</v>
      </c>
      <c r="AJ19" s="819">
        <f t="shared" si="14"/>
        <v>0</v>
      </c>
      <c r="AK19" s="829">
        <f t="shared" si="14"/>
        <v>0</v>
      </c>
      <c r="AL19" s="883">
        <f>IF(ISNUMBER(NºAsuntos!G19/NºAsuntos!E19),NºAsuntos!G19/NºAsuntos!E19," - ")</f>
        <v>0.9978845572680568</v>
      </c>
      <c r="AM19" s="884">
        <f>IF(ISNUMBER(((NºAsuntos!I19/NºAsuntos!G19)*11)/factor_trimestre),((NºAsuntos!I19/NºAsuntos!G19)*11)/factor_trimestre," - ")</f>
        <v>9.3261659600242286</v>
      </c>
      <c r="AN19" s="884">
        <f>IF(ISNUMBER('Resol  Asuntos'!D19/NºAsuntos!G19),'Resol  Asuntos'!D19/NºAsuntos!G19," - ")</f>
        <v>0.15960024227740763</v>
      </c>
      <c r="AO19" s="885">
        <f>IF(ISNUMBER((NºAsuntos!C19+NºAsuntos!E19)/NºAsuntos!G19),(NºAsuntos!C19+NºAsuntos!E19)/NºAsuntos!G19," - ")</f>
        <v>4.1050878255602665</v>
      </c>
      <c r="AP19" s="886" t="str">
        <f t="shared" si="2"/>
        <v xml:space="preserve"> - </v>
      </c>
      <c r="AQ19" s="887">
        <f>IF(OR(ISNUMBER(FIND("01",Criterios!A8,1)),ISNUMBER(FIND("02",Criterios!A8,1)),ISNUMBER(FIND("03",Criterios!A8,1)),ISNUMBER(FIND("04",Criterios!A8,1))),(I19-W19+K19)/(F19-K19),(H19-W19+K19)/(F19-K19))</f>
        <v>-0.87917146144994252</v>
      </c>
      <c r="AR19" s="888">
        <f>IF(ISNUMBER((Datos!P19-Datos!Q19)/(Datos!R19-Datos!P19+Datos!Q19)),(Datos!P19-Datos!Q19)/(Datos!R19-Datos!P19+Datos!Q19)," - ")</f>
        <v>1.8226200162733928E-2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939.92623824071075</v>
      </c>
      <c r="G21" s="252">
        <f>IF(ISNUMBER(STDEV(G8:G18)),STDEV(G8:G18),"-")</f>
        <v>931.41762920829456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742.47942732442084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158.36876796473055</v>
      </c>
      <c r="AJ21" s="251">
        <f t="shared" si="18"/>
        <v>0</v>
      </c>
      <c r="AK21" s="253">
        <f t="shared" si="18"/>
        <v>0</v>
      </c>
      <c r="AL21" s="248">
        <f t="shared" si="18"/>
        <v>0.11607488975582957</v>
      </c>
      <c r="AM21" s="249">
        <f t="shared" si="18"/>
        <v>7.4121252936260698</v>
      </c>
      <c r="AN21" s="249">
        <f t="shared" si="18"/>
        <v>0.10348227721215331</v>
      </c>
      <c r="AO21" s="250">
        <f t="shared" si="18"/>
        <v>2.4735849577238969</v>
      </c>
      <c r="AP21" s="290" t="str">
        <f t="shared" si="18"/>
        <v>-</v>
      </c>
      <c r="AQ21" s="291">
        <f t="shared" si="18"/>
        <v>0.53577098477069851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pW3zOcZXqD04JXPWTKaiHplkGgqLg6qWlwTcMfod9v61bAnn7sleIzD0GZkTGGhcOhLQWDt9feV1SOyRxZLZFw==" saltValue="4MKgXJ1Jbie5jMapuyeN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COLMENAR VIEJO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-0.140625</v>
      </c>
      <c r="E10" s="347">
        <f>IF(ISNUMBER((Datos!J10-Datos!T10)/Datos!T10),(Datos!J10-Datos!T10)/Datos!T10," - ")</f>
        <v>-0.15384615384615385</v>
      </c>
      <c r="F10" s="347">
        <f>IF(ISNUMBER((Datos!K10-Datos!U10)/Datos!U10),(Datos!K10-Datos!U10)/Datos!U10," - ")</f>
        <v>-0.55555555555555558</v>
      </c>
      <c r="G10" s="348">
        <f>IF(ISNUMBER((Datos!L10-Datos!V10)/Datos!V10),(Datos!L10-Datos!V10)/Datos!V10," - ")</f>
        <v>-1.6949152542372881E-2</v>
      </c>
      <c r="H10" s="229">
        <f>IF(ISNUMBER((Datos!M10-Datos!W10)/Datos!W10),(Datos!M10-Datos!W10)/Datos!W10," - ")</f>
        <v>-0.4</v>
      </c>
      <c r="I10" s="349">
        <f>IF(ISNUMBER((Tasas!C10-Datos!BE10)/Datos!BE10),(Tasas!C10-Datos!BE10)/Datos!BE10," - ")</f>
        <v>1.2118644067796611</v>
      </c>
      <c r="J10" s="348">
        <f>IF(ISNUMBER((Tasas!D10-Datos!BF10)/Datos!BF10),(Tasas!D10-Datos!BF10)/Datos!BF10," - ")</f>
        <v>0.34999999999999992</v>
      </c>
      <c r="K10" s="350">
        <f>IF(ISNUMBER((Tasas!E10-Datos!BG10)/Datos!BG10),(Tasas!E10-Datos!BG10)/Datos!BG10," - ")</f>
        <v>0.9285714285714286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-0.30988593155893535</v>
      </c>
      <c r="I12" s="349">
        <f>IF(ISNUMBER((Tasas!C12-Datos!BE12)/Datos!BE12),(Tasas!C12-Datos!BE12)/Datos!BE12," - ")</f>
        <v>0.57660499953819289</v>
      </c>
      <c r="J12" s="348">
        <f>IF(ISNUMBER((Tasas!D12-Datos!BF12)/Datos!BF12),(Tasas!D12-Datos!BF12)/Datos!BF12," - ")</f>
        <v>-0.60234726009518991</v>
      </c>
      <c r="K12" s="350">
        <f>IF(ISNUMBER((Tasas!E12-Datos!BG12)/Datos!BG12),(Tasas!E12-Datos!BG12)/Datos!BG12," - ")</f>
        <v>0.42966012077991311</v>
      </c>
      <c r="M12" t="e">
        <f>IF(Monitorios="SI",Datos!CE12,0)</f>
        <v>#REF!</v>
      </c>
      <c r="N12" t="e">
        <f>IF(Monitorios="SI",Datos!CF12,0)</f>
        <v>#REF!</v>
      </c>
      <c r="O12" t="e">
        <f>IF(Monitorios="SI",Datos!CG12,0)</f>
        <v>#REF!</v>
      </c>
      <c r="P12" t="e">
        <f>IF(Monitorios="SI",Datos!CH12,0)</f>
        <v>#REF!</v>
      </c>
      <c r="Q12">
        <f>IF(J_V="SI",0,Datos!AG12)</f>
        <v>260</v>
      </c>
      <c r="R12">
        <f>IF(J_V="SI",0,Datos!AH12)</f>
        <v>199</v>
      </c>
      <c r="S12">
        <f>IF(J_V="SI",0,Datos!AI12)</f>
        <v>189</v>
      </c>
      <c r="T12">
        <f>IF(J_V="SI",0,Datos!AJ12)</f>
        <v>270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-0.31073446327683618</v>
      </c>
      <c r="I13" s="356">
        <f>IF(ISNUMBER((Tasas!C13-Datos!BE13)/Datos!BE13),(Tasas!C13-Datos!BE13)/Datos!BE13," - ")</f>
        <v>0.57921623107869513</v>
      </c>
      <c r="J13" s="354">
        <f>IF(ISNUMBER((Tasas!D13-Datos!BF13)/Datos!BF13),(Tasas!D13-Datos!BF13)/Datos!BF13," - ")</f>
        <v>-0.5994697589137491</v>
      </c>
      <c r="K13" s="357">
        <f>IF(ISNUMBER((Tasas!E13-Datos!BG13)/Datos!BG13),(Tasas!E13-Datos!BG13)/Datos!BG13," - ")</f>
        <v>0.43170627794226291</v>
      </c>
      <c r="M13" t="e">
        <f>IF(Monitorios="SI",Datos!CE13,0)</f>
        <v>#REF!</v>
      </c>
      <c r="N13" t="e">
        <f>IF(Monitorios="SI",Datos!CF13,0)</f>
        <v>#REF!</v>
      </c>
      <c r="O13" t="e">
        <f>IF(Monitorios="SI",Datos!CG13,0)</f>
        <v>#REF!</v>
      </c>
      <c r="P13" t="e">
        <f>IF(Monitorios="SI",Datos!CH13,0)</f>
        <v>#REF!</v>
      </c>
      <c r="Q13">
        <f>IF(J_V="SI",0,Datos!AG13)</f>
        <v>260</v>
      </c>
      <c r="R13">
        <f>IF(J_V="SI",0,Datos!AH13)</f>
        <v>199</v>
      </c>
      <c r="S13">
        <f>IF(J_V="SI",0,Datos!AI13)</f>
        <v>189</v>
      </c>
      <c r="T13">
        <f>IF(J_V="SI",0,Datos!AJ13)</f>
        <v>270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0.1015161502966381</v>
      </c>
      <c r="E16" s="347">
        <f>IF(ISNUMBER(
   IF(D_I="SI",(Datos!J16-Datos!T16)/Datos!T16,(Datos!J16+Datos!AD16-(Datos!T16+Datos!AL16))/(Datos!T16+Datos!AL16))
     ),IF(D_I="SI",(Datos!J16-Datos!T16)/Datos!T16,(Datos!J16+Datos!AD16-(Datos!T16+Datos!AL16))/(Datos!T16+Datos!AL16))," - ")</f>
        <v>-5.3682037164487266E-2</v>
      </c>
      <c r="F16" s="347">
        <f>IF(ISNUMBER(
   IF(D_I="SI",(Datos!K16-Datos!U16)/Datos!U16,(Datos!K16+Datos!AE16-(Datos!U16+Datos!AM16))/(Datos!U16+Datos!AM16))
     ),IF(D_I="SI",(Datos!K16-Datos!U16)/Datos!U16,(Datos!K16+Datos!AE16-(Datos!U16+Datos!AM16))/(Datos!U16+Datos!AM16))," - ")</f>
        <v>-0.10876954452753229</v>
      </c>
      <c r="G16" s="348">
        <f>IF(ISNUMBER(
   IF(D_I="SI",(Datos!L16-Datos!V16)/Datos!V16,(Datos!L16+Datos!AF16-(Datos!V16+Datos!AN16))/(Datos!V16+Datos!AN16))
     ),IF(D_I="SI",(Datos!L16-Datos!V16)/Datos!V16,(Datos!L16+Datos!AF16-(Datos!V16+Datos!AN16))/(Datos!V16+Datos!AN16))," - ")</f>
        <v>0.14407334643091027</v>
      </c>
      <c r="H16" s="229">
        <f>IF(ISNUMBER((Datos!M16-Datos!W16)/Datos!W16),(Datos!M16-Datos!W16)/Datos!W16," - ")</f>
        <v>-0.38073394495412843</v>
      </c>
      <c r="I16" s="349">
        <f>IF(ISNUMBER((Tasas!C16-Datos!BE16)/Datos!BE16),(Tasas!C16-Datos!BE16)/Datos!BE16," - ")</f>
        <v>0.28370090968716166</v>
      </c>
      <c r="J16" s="348">
        <f>IF(ISNUMBER((Tasas!D16-Datos!BF16)/Datos!BF16),(Tasas!D16-Datos!BF16)/Datos!BF16," - ")</f>
        <v>-0.30515608926584514</v>
      </c>
      <c r="K16" s="350">
        <f>IF(ISNUMBER((Tasas!E16-Datos!BG16)/Datos!BG16),(Tasas!E16-Datos!BG16)/Datos!BG16," - ")</f>
        <v>0.15075648424237284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0.19246861924686193</v>
      </c>
      <c r="E17" s="347">
        <f>IF(ISNUMBER(
   IF(D_I="SI",(Datos!J17-Datos!T17)/Datos!T17,(Datos!J17+Datos!AD17-(Datos!T17+Datos!AL17))/(Datos!T17+Datos!AL17))
     ),IF(D_I="SI",(Datos!J17-Datos!T17)/Datos!T17,(Datos!J17+Datos!AD17-(Datos!T17+Datos!AL17))/(Datos!T17+Datos!AL17))," - ")</f>
        <v>0.10160427807486631</v>
      </c>
      <c r="F17" s="347">
        <f>IF(ISNUMBER(
   IF(D_I="SI",(Datos!K17-Datos!U17)/Datos!U17,(Datos!K17+Datos!AE17-(Datos!U17+Datos!AM17))/(Datos!U17+Datos!AM17))
     ),IF(D_I="SI",(Datos!K17-Datos!U17)/Datos!U17,(Datos!K17+Datos!AE17-(Datos!U17+Datos!AM17))/(Datos!U17+Datos!AM17))," - ")</f>
        <v>-1.4150943396226415E-2</v>
      </c>
      <c r="G17" s="348">
        <f>IF(ISNUMBER(
   IF(D_I="SI",(Datos!L17-Datos!V17)/Datos!V17,(Datos!L17+Datos!AF17-(Datos!V17+Datos!AN17))/(Datos!V17+Datos!AN17))
     ),IF(D_I="SI",(Datos!L17-Datos!V17)/Datos!V17,(Datos!L17+Datos!AF17-(Datos!V17+Datos!AN17))/(Datos!V17+Datos!AN17))," - ")</f>
        <v>0.31775700934579437</v>
      </c>
      <c r="H17" s="229">
        <f>IF(ISNUMBER((Datos!M17-Datos!W17)/Datos!W17),(Datos!M17-Datos!W17)/Datos!W17," - ")</f>
        <v>0.8571428571428571</v>
      </c>
      <c r="I17" s="349">
        <f>IF(ISNUMBER((Tasas!C17-Datos!BE17)/Datos!BE17),(Tasas!C17-Datos!BE17)/Datos!BE17," - ")</f>
        <v>0.33667218172874819</v>
      </c>
      <c r="J17" s="348">
        <f>IF(ISNUMBER((Tasas!D17-Datos!BF17)/Datos!BF17),(Tasas!D17-Datos!BF17)/Datos!BF17," - ")</f>
        <v>0.88380041011619959</v>
      </c>
      <c r="K17" s="350">
        <f>IF(ISNUMBER((Tasas!E17-Datos!BG17)/Datos!BG17),(Tasas!E17-Datos!BG17)/Datos!BG17," - ")</f>
        <v>0.16912640115012245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0.11389521640091116</v>
      </c>
      <c r="E18" s="353">
        <f>IF(ISNUMBER(
   IF(D_I="SI",(Datos!J18-Datos!T18)/Datos!T18,(Datos!J18+Datos!AD18-(Datos!T18+Datos!AL18))/(Datos!T18+Datos!AL18))
     ),IF(D_I="SI",(Datos!J18-Datos!T18)/Datos!T18,(Datos!J18+Datos!AD18-(Datos!T18+Datos!AL18))/(Datos!T18+Datos!AL18))," - ")</f>
        <v>-3.5975609756097558E-2</v>
      </c>
      <c r="F18" s="353">
        <f>IF(ISNUMBER(
   IF(D_I="SI",(Datos!K18-Datos!U18)/Datos!U18,(Datos!K18+Datos!AE18-(Datos!U18+Datos!AM18))/(Datos!U18+Datos!AM18))
     ),IF(D_I="SI",(Datos!K18-Datos!U18)/Datos!U18,(Datos!K18+Datos!AE18-(Datos!U18+Datos!AM18))/(Datos!U18+Datos!AM18))," - ")</f>
        <v>-9.6850861556743911E-2</v>
      </c>
      <c r="G18" s="354">
        <f>IF(ISNUMBER(
   IF(D_I="SI",(Datos!L18-Datos!V18)/Datos!V18,(Datos!L18+Datos!AF18-(Datos!V18+Datos!AN18))/(Datos!V18+Datos!AN18))
     ),IF(D_I="SI",(Datos!L18-Datos!V18)/Datos!V18,(Datos!L18+Datos!AF18-(Datos!V18+Datos!AN18))/(Datos!V18+Datos!AN18))," - ")</f>
        <v>0.16542217116599656</v>
      </c>
      <c r="H18" s="355">
        <f>IF(ISNUMBER((Datos!M18-Datos!W18)/Datos!W18),(Datos!M18-Datos!W18)/Datos!W18," - ")</f>
        <v>-0.30603448275862066</v>
      </c>
      <c r="I18" s="356">
        <f>IF(ISNUMBER((Tasas!C18-Datos!BE18)/Datos!BE18),(Tasas!C18-Datos!BE18)/Datos!BE18," - ")</f>
        <v>0.29039836452129747</v>
      </c>
      <c r="J18" s="354">
        <f>IF(ISNUMBER((Tasas!D18-Datos!BF18)/Datos!BF18),(Tasas!D18-Datos!BF18)/Datos!BF18," - ")</f>
        <v>-0.23161581215970958</v>
      </c>
      <c r="K18" s="357">
        <f>IF(ISNUMBER((Tasas!E18-Datos!BG18)/Datos!BG18),(Tasas!E18-Datos!BG18)/Datos!BG18," - ")</f>
        <v>0.15320868978984545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0.24556284950158036</v>
      </c>
      <c r="E19" s="362">
        <f>IF(ISNUMBER(
   IF(J_V="SI",(Datos!J19-Datos!T19)/Datos!T19,(Datos!J19+Datos!Z19-(Datos!T19+Datos!AH19))/(Datos!T19+Datos!AH19))
     ),IF(J_V="SI",(Datos!J19-Datos!T19)/Datos!T19,(Datos!J19+Datos!Z19-(Datos!T19+Datos!AH19))/(Datos!T19+Datos!AH19))," - ")</f>
        <v>-0.27034178610804849</v>
      </c>
      <c r="F19" s="362">
        <f>IF(ISNUMBER(
   IF(J_V="SI",(Datos!K19-Datos!U19)/Datos!U19,(Datos!K19+Datos!AA19-(Datos!U19+Datos!AI19))/(Datos!U19+Datos!AI19))
     ),IF(J_V="SI",(Datos!K19-Datos!U19)/Datos!U19,(Datos!K19+Datos!AA19-(Datos!U19+Datos!AI19))/(Datos!U19+Datos!AI19))," - ")</f>
        <v>-0.18829891838741397</v>
      </c>
      <c r="G19" s="363">
        <f>IF(ISNUMBER(
   IF(J_V="SI",(Datos!L19-Datos!V19)/Datos!V19,(Datos!L19+Datos!AB19-(Datos!V19+Datos!AJ19))/(Datos!V19+Datos!AJ19))
     ),IF(J_V="SI",(Datos!L19-Datos!V19)/Datos!V19,(Datos!L19+Datos!AB19-(Datos!V19+Datos!AJ19))/(Datos!V19+Datos!AJ19))," - ")</f>
        <v>0.17704391698199748</v>
      </c>
      <c r="H19" s="364">
        <f>IF(ISNUMBER((Datos!M19-Datos!W19)/Datos!W19),(Datos!M19-Datos!W19)/Datos!W19," - ")</f>
        <v>-0.30930537352555704</v>
      </c>
      <c r="I19" s="361">
        <f>IF(ISNUMBER((Tasas!C19-Datos!BE19)/Datos!BE19),(Tasas!C19-Datos!BE19)/Datos!BE19," - ")</f>
        <v>0.45009529202991094</v>
      </c>
      <c r="J19" s="362">
        <f>IF(ISNUMBER((Tasas!D19-Datos!BF19)/Datos!BF19),(Tasas!D19-Datos!BF19)/Datos!BF19," - ")</f>
        <v>-0.55377746695223762</v>
      </c>
      <c r="K19" s="363">
        <f>IF(ISNUMBER((Tasas!E19-Datos!BG19)/Datos!BG19),(Tasas!E19-Datos!BG19)/Datos!BG19," - ")</f>
        <v>0.30863547326848711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0.14403807625279347</v>
      </c>
      <c r="E21" s="277">
        <f t="shared" si="1"/>
        <v>0.10509393473265766</v>
      </c>
      <c r="F21" s="277">
        <f t="shared" si="1"/>
        <v>0.24479254842312051</v>
      </c>
      <c r="G21" s="278">
        <f t="shared" si="1"/>
        <v>0.13694386005982451</v>
      </c>
      <c r="H21" s="284">
        <f t="shared" si="1"/>
        <v>0.49100064141031047</v>
      </c>
      <c r="I21" s="276">
        <f t="shared" si="1"/>
        <v>0.35309079012130201</v>
      </c>
      <c r="J21" s="277">
        <f t="shared" si="1"/>
        <v>0.58823242488289484</v>
      </c>
      <c r="K21" s="278">
        <f t="shared" si="1"/>
        <v>0.30148858731910583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7AshZGaZ8Rjk9AcsDlyAff5jcoS065i2IwGYMocnBHyP21sGXT9eIzdOarT9t9wn/AMsw2NjiiBcDfcSGMT9A==" saltValue="vJNh/7ge1bGjNhhEsG1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